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Share\229\Ashxatanqain\Ջանջուղազյան և Զարգարյան\Հրապարակման\2022\10.2022\"/>
    </mc:Choice>
  </mc:AlternateContent>
  <bookViews>
    <workbookView xWindow="0" yWindow="0" windowWidth="28800" windowHeight="11730" firstSheet="1" activeTab="1"/>
  </bookViews>
  <sheets>
    <sheet name="Sheet1" sheetId="1" state="hidden" r:id="rId1"/>
    <sheet name="Պարտավորություններ" sheetId="9" r:id="rId2"/>
    <sheet name="բյուջետային երաշխիք" sheetId="3" r:id="rId3"/>
  </sheets>
  <definedNames>
    <definedName name="_xlnm.Print_Area" localSheetId="1">Պարտավորություններ!$A$1:$T$162</definedName>
    <definedName name="Table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7" i="9" l="1"/>
  <c r="P138" i="9"/>
  <c r="P139" i="9"/>
  <c r="P140" i="9"/>
  <c r="P141" i="9"/>
  <c r="R50" i="9"/>
  <c r="Q50" i="9"/>
  <c r="O50" i="9"/>
  <c r="N50" i="9"/>
  <c r="E19" i="3" l="1"/>
  <c r="D19" i="3"/>
  <c r="E8" i="3"/>
  <c r="O142" i="9" l="1"/>
  <c r="N142" i="9"/>
  <c r="S136" i="9"/>
  <c r="R136" i="9"/>
  <c r="Q136" i="9"/>
  <c r="O136" i="9"/>
  <c r="N136" i="9"/>
  <c r="S135" i="9"/>
  <c r="R135" i="9"/>
  <c r="Q135" i="9"/>
  <c r="O135" i="9"/>
  <c r="N135" i="9"/>
  <c r="S133" i="9"/>
  <c r="R133" i="9"/>
  <c r="Q133" i="9"/>
  <c r="O133" i="9"/>
  <c r="N133" i="9"/>
  <c r="S132" i="9"/>
  <c r="S131" i="9"/>
  <c r="R131" i="9"/>
  <c r="S130" i="9"/>
  <c r="R130" i="9"/>
  <c r="S129" i="9"/>
  <c r="R129" i="9"/>
  <c r="S128" i="9"/>
  <c r="R128" i="9"/>
  <c r="S127" i="9"/>
  <c r="S126" i="9"/>
  <c r="R126" i="9"/>
  <c r="R125" i="9"/>
  <c r="S125" i="9" s="1"/>
  <c r="Q125" i="9"/>
  <c r="R124" i="9"/>
  <c r="O124" i="9"/>
  <c r="S124" i="9" s="1"/>
  <c r="S123" i="9"/>
  <c r="R123" i="9"/>
  <c r="R122" i="9"/>
  <c r="O122" i="9"/>
  <c r="S122" i="9" s="1"/>
  <c r="N122" i="9"/>
  <c r="R121" i="9"/>
  <c r="Q121" i="9"/>
  <c r="S121" i="9" s="1"/>
  <c r="S120" i="9"/>
  <c r="R120" i="9"/>
  <c r="R119" i="9"/>
  <c r="O119" i="9"/>
  <c r="S119" i="9" s="1"/>
  <c r="S118" i="9"/>
  <c r="R118" i="9"/>
  <c r="S117" i="9"/>
  <c r="R117" i="9"/>
  <c r="S116" i="9"/>
  <c r="O115" i="9"/>
  <c r="N115" i="9"/>
  <c r="R114" i="9"/>
  <c r="Q114" i="9"/>
  <c r="S114" i="9" s="1"/>
  <c r="S113" i="9"/>
  <c r="S112" i="9"/>
  <c r="R112" i="9"/>
  <c r="S111" i="9"/>
  <c r="R111" i="9"/>
  <c r="Q111" i="9"/>
  <c r="O111" i="9"/>
  <c r="N111" i="9"/>
  <c r="S110" i="9"/>
  <c r="R110" i="9"/>
  <c r="Q110" i="9"/>
  <c r="O110" i="9"/>
  <c r="N110" i="9"/>
  <c r="S108" i="9"/>
  <c r="R108" i="9"/>
  <c r="Q108" i="9"/>
  <c r="O108" i="9"/>
  <c r="N108" i="9"/>
  <c r="S107" i="9"/>
  <c r="R107" i="9"/>
  <c r="S106" i="9"/>
  <c r="R106" i="9"/>
  <c r="S105" i="9"/>
  <c r="R105" i="9"/>
  <c r="S104" i="9"/>
  <c r="R103" i="9"/>
  <c r="Q103" i="9"/>
  <c r="O103" i="9"/>
  <c r="N103" i="9"/>
  <c r="Q102" i="9"/>
  <c r="S102" i="9" s="1"/>
  <c r="N102" i="9"/>
  <c r="S101" i="9"/>
  <c r="R101" i="9"/>
  <c r="Q101" i="9"/>
  <c r="O101" i="9"/>
  <c r="N101" i="9"/>
  <c r="O100" i="9"/>
  <c r="N100" i="9"/>
  <c r="Q99" i="9"/>
  <c r="N99" i="9"/>
  <c r="O98" i="9"/>
  <c r="N98" i="9"/>
  <c r="S97" i="9"/>
  <c r="R97" i="9"/>
  <c r="R99" i="9" s="1"/>
  <c r="S96" i="9"/>
  <c r="R96" i="9"/>
  <c r="R100" i="9" s="1"/>
  <c r="S95" i="9"/>
  <c r="S94" i="9"/>
  <c r="S93" i="9"/>
  <c r="R92" i="9"/>
  <c r="S89" i="9"/>
  <c r="S88" i="9"/>
  <c r="S87" i="9"/>
  <c r="S86" i="9"/>
  <c r="S85" i="9"/>
  <c r="S84" i="9"/>
  <c r="O83" i="9"/>
  <c r="S83" i="9" s="1"/>
  <c r="S82" i="9"/>
  <c r="S81" i="9"/>
  <c r="S80" i="9"/>
  <c r="S79" i="9"/>
  <c r="S78" i="9"/>
  <c r="O77" i="9"/>
  <c r="S77" i="9" s="1"/>
  <c r="S76" i="9"/>
  <c r="S75" i="9"/>
  <c r="R74" i="9"/>
  <c r="Q74" i="9"/>
  <c r="Q73" i="9"/>
  <c r="S72" i="9"/>
  <c r="R72" i="9"/>
  <c r="Q72" i="9"/>
  <c r="O72" i="9"/>
  <c r="N72" i="9"/>
  <c r="O71" i="9"/>
  <c r="N71" i="9"/>
  <c r="O70" i="9"/>
  <c r="N70" i="9"/>
  <c r="O69" i="9"/>
  <c r="N69" i="9"/>
  <c r="S68" i="9"/>
  <c r="S67" i="9"/>
  <c r="S66" i="9"/>
  <c r="R65" i="9"/>
  <c r="R71" i="9" s="1"/>
  <c r="Q65" i="9"/>
  <c r="R64" i="9"/>
  <c r="R69" i="9" s="1"/>
  <c r="Q64" i="9"/>
  <c r="Q69" i="9" s="1"/>
  <c r="J64" i="9"/>
  <c r="S63" i="9"/>
  <c r="R62" i="9"/>
  <c r="R70" i="9" s="1"/>
  <c r="Q62" i="9"/>
  <c r="S62" i="9" s="1"/>
  <c r="S61" i="9"/>
  <c r="R61" i="9"/>
  <c r="Q61" i="9"/>
  <c r="O61" i="9"/>
  <c r="N61" i="9"/>
  <c r="N140" i="9" s="1"/>
  <c r="S60" i="9"/>
  <c r="R60" i="9"/>
  <c r="Q60" i="9"/>
  <c r="O60" i="9"/>
  <c r="N60" i="9"/>
  <c r="R59" i="9"/>
  <c r="Q59" i="9"/>
  <c r="O59" i="9"/>
  <c r="N59" i="9"/>
  <c r="R58" i="9"/>
  <c r="Q58" i="9"/>
  <c r="O58" i="9"/>
  <c r="N58" i="9"/>
  <c r="S57" i="9"/>
  <c r="J57" i="9"/>
  <c r="S56" i="9"/>
  <c r="J56" i="9"/>
  <c r="S55" i="9"/>
  <c r="J55" i="9"/>
  <c r="S54" i="9"/>
  <c r="S53" i="9"/>
  <c r="G53" i="9"/>
  <c r="J53" i="9" s="1"/>
  <c r="S52" i="9"/>
  <c r="J52" i="9"/>
  <c r="R51" i="9"/>
  <c r="R141" i="9" s="1"/>
  <c r="O51" i="9"/>
  <c r="O141" i="9" s="1"/>
  <c r="N51" i="9"/>
  <c r="N141" i="9" s="1"/>
  <c r="N48" i="9"/>
  <c r="N47" i="9"/>
  <c r="S46" i="9"/>
  <c r="S45" i="9"/>
  <c r="O44" i="9"/>
  <c r="S44" i="9" s="1"/>
  <c r="S43" i="9"/>
  <c r="S42" i="9"/>
  <c r="S41" i="9"/>
  <c r="R41" i="9"/>
  <c r="R40" i="9"/>
  <c r="Q40" i="9"/>
  <c r="S40" i="9" s="1"/>
  <c r="Q39" i="9"/>
  <c r="S39" i="9" s="1"/>
  <c r="Q38" i="9"/>
  <c r="S38" i="9" s="1"/>
  <c r="S37" i="9"/>
  <c r="J37" i="9"/>
  <c r="S36" i="9"/>
  <c r="J36" i="9"/>
  <c r="Q35" i="9"/>
  <c r="S35" i="9" s="1"/>
  <c r="J35" i="9"/>
  <c r="Q34" i="9"/>
  <c r="S34" i="9" s="1"/>
  <c r="J34" i="9"/>
  <c r="S33" i="9"/>
  <c r="I33" i="9"/>
  <c r="G33" i="9"/>
  <c r="F33" i="9"/>
  <c r="S32" i="9"/>
  <c r="S31" i="9"/>
  <c r="J31" i="9"/>
  <c r="S30" i="9"/>
  <c r="S29" i="9"/>
  <c r="I29" i="9"/>
  <c r="G29" i="9"/>
  <c r="F29" i="9"/>
  <c r="R28" i="9"/>
  <c r="Q28" i="9"/>
  <c r="S28" i="9" s="1"/>
  <c r="R27" i="9"/>
  <c r="R49" i="9" s="1"/>
  <c r="Q27" i="9"/>
  <c r="J27" i="9"/>
  <c r="S26" i="9"/>
  <c r="S25" i="9"/>
  <c r="Q24" i="9"/>
  <c r="S24" i="9" s="1"/>
  <c r="Q23" i="9"/>
  <c r="S23" i="9" s="1"/>
  <c r="G23" i="9"/>
  <c r="J23" i="9" s="1"/>
  <c r="O22" i="9"/>
  <c r="O21" i="9"/>
  <c r="O49" i="9" s="1"/>
  <c r="N21" i="9"/>
  <c r="S20" i="9"/>
  <c r="S19" i="9"/>
  <c r="J19" i="9"/>
  <c r="S18" i="9"/>
  <c r="S17" i="9"/>
  <c r="N17" i="9"/>
  <c r="J17" i="9"/>
  <c r="S16" i="9"/>
  <c r="S15" i="9"/>
  <c r="N15" i="9"/>
  <c r="N49" i="9" s="1"/>
  <c r="G15" i="9"/>
  <c r="J15" i="9" s="1"/>
  <c r="S14" i="9"/>
  <c r="S13" i="9"/>
  <c r="R13" i="9"/>
  <c r="S12" i="9"/>
  <c r="S11" i="9"/>
  <c r="S10" i="9"/>
  <c r="R9" i="9"/>
  <c r="O9" i="9"/>
  <c r="S9" i="9" s="1"/>
  <c r="J9" i="9"/>
  <c r="S8" i="9"/>
  <c r="R8" i="9"/>
  <c r="J8" i="9"/>
  <c r="R7" i="9"/>
  <c r="Q7" i="9"/>
  <c r="S7" i="9" s="1"/>
  <c r="J7" i="9"/>
  <c r="R6" i="9"/>
  <c r="Q6" i="9"/>
  <c r="S6" i="9" s="1"/>
  <c r="J6" i="9"/>
  <c r="R5" i="9"/>
  <c r="Q5" i="9"/>
  <c r="O5" i="9"/>
  <c r="J5" i="9"/>
  <c r="O48" i="9" l="1"/>
  <c r="O140" i="9"/>
  <c r="N139" i="9"/>
  <c r="R139" i="9"/>
  <c r="N137" i="9"/>
  <c r="Q140" i="9"/>
  <c r="O139" i="9"/>
  <c r="R140" i="9"/>
  <c r="J29" i="9"/>
  <c r="Q49" i="9"/>
  <c r="S50" i="9"/>
  <c r="S140" i="9" s="1"/>
  <c r="R48" i="9"/>
  <c r="O109" i="9"/>
  <c r="S58" i="9"/>
  <c r="S74" i="9"/>
  <c r="S59" i="9"/>
  <c r="Q70" i="9"/>
  <c r="S142" i="9"/>
  <c r="O47" i="9"/>
  <c r="O137" i="9" s="1"/>
  <c r="N109" i="9"/>
  <c r="Q51" i="9"/>
  <c r="Q141" i="9" s="1"/>
  <c r="J33" i="9"/>
  <c r="Q98" i="9"/>
  <c r="R47" i="9"/>
  <c r="R137" i="9" s="1"/>
  <c r="Q48" i="9"/>
  <c r="S70" i="9"/>
  <c r="S103" i="9"/>
  <c r="N134" i="9"/>
  <c r="Q134" i="9"/>
  <c r="O134" i="9"/>
  <c r="S51" i="9"/>
  <c r="S141" i="9" s="1"/>
  <c r="S64" i="9"/>
  <c r="R98" i="9"/>
  <c r="S115" i="9"/>
  <c r="S21" i="9"/>
  <c r="S49" i="9" s="1"/>
  <c r="Q47" i="9"/>
  <c r="S5" i="9"/>
  <c r="S27" i="9"/>
  <c r="S98" i="9"/>
  <c r="Q100" i="9"/>
  <c r="S99" i="9"/>
  <c r="O99" i="9"/>
  <c r="O138" i="9" s="1"/>
  <c r="R134" i="9"/>
  <c r="Q71" i="9"/>
  <c r="S65" i="9"/>
  <c r="S22" i="9"/>
  <c r="S73" i="9"/>
  <c r="R109" i="9"/>
  <c r="Q109" i="9"/>
  <c r="E16" i="3"/>
  <c r="Q137" i="9" l="1"/>
  <c r="N138" i="9"/>
  <c r="Q139" i="9"/>
  <c r="Q138" i="9"/>
  <c r="R138" i="9"/>
  <c r="S134" i="9"/>
  <c r="S109" i="9"/>
  <c r="S69" i="9"/>
  <c r="S47" i="9"/>
  <c r="S100" i="9"/>
  <c r="S71" i="9"/>
  <c r="S139" i="9" s="1"/>
  <c r="S48" i="9"/>
  <c r="S138" i="9" s="1"/>
  <c r="S137" i="9" l="1"/>
  <c r="E7" i="3"/>
  <c r="E9" i="3"/>
  <c r="E10" i="3"/>
  <c r="E11" i="3"/>
  <c r="E12" i="3"/>
  <c r="E13" i="3"/>
  <c r="E14" i="3"/>
  <c r="E15" i="3"/>
  <c r="F2" i="1" l="1"/>
  <c r="F3" i="1"/>
</calcChain>
</file>

<file path=xl/sharedStrings.xml><?xml version="1.0" encoding="utf-8"?>
<sst xmlns="http://schemas.openxmlformats.org/spreadsheetml/2006/main" count="808" uniqueCount="416">
  <si>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</si>
  <si>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</si>
  <si>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</si>
  <si>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</si>
  <si>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</si>
  <si>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</si>
  <si>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</si>
  <si>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</si>
  <si>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</si>
  <si>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</si>
  <si>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</si>
  <si>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</si>
  <si>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</si>
  <si>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</si>
  <si>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</si>
  <si>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</si>
  <si>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</si>
  <si>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</si>
  <si>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30.05.2024թ.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</si>
  <si>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</si>
  <si>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</si>
  <si>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</si>
  <si>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</si>
  <si>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</si>
  <si>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</si>
  <si>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</si>
  <si>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</si>
  <si>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</si>
  <si>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</si>
  <si>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</si>
  <si>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</si>
  <si>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</si>
  <si>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</si>
  <si>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</si>
  <si>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</si>
  <si>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</si>
  <si>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</si>
  <si>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</si>
  <si>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</si>
  <si>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</si>
  <si>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</si>
  <si>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</si>
  <si>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</si>
  <si>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</si>
  <si>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</si>
  <si>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</si>
  <si>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</si>
  <si>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</si>
  <si>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</si>
  <si>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</si>
  <si>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</si>
  <si>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</si>
  <si>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</si>
  <si>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</si>
  <si>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</si>
  <si>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</si>
  <si>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</si>
  <si>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</si>
  <si>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</si>
  <si>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6-ամսյա Libor+ փոփոխական մարժա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</si>
  <si>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</si>
  <si>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</si>
  <si>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</si>
  <si>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</si>
  <si>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</si>
  <si>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</si>
  <si>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</si>
  <si>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</si>
  <si>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</si>
  <si>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</si>
  <si>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</si>
  <si>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</si>
  <si>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</si>
  <si>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</si>
  <si>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</si>
  <si>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</si>
  <si>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</si>
  <si>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</si>
  <si>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</si>
  <si>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</si>
  <si>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</si>
  <si>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</si>
  <si>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</si>
  <si>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</si>
  <si>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</si>
  <si>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</si>
  <si>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</si>
  <si>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</si>
  <si>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</si>
  <si>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</si>
  <si>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</si>
  <si>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</si>
  <si>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</si>
  <si>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</si>
  <si>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</si>
  <si>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</si>
  <si>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</si>
  <si>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</si>
  <si>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</si>
  <si>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</si>
  <si>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</si>
  <si>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</si>
  <si>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</si>
  <si>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</si>
  <si>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</si>
  <si>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</si>
  <si>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</si>
  <si>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</si>
  <si>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</si>
  <si>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</si>
  <si>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</si>
  <si>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</si>
  <si>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</si>
  <si>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փոփոխական և 0.25% պարտավճար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</si>
  <si>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</si>
  <si>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</si>
  <si>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</si>
  <si>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</si>
  <si>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</si>
  <si>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</si>
  <si>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</si>
  <si>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</si>
  <si>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</si>
  <si>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</si>
  <si>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</si>
  <si>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</si>
  <si>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</si>
  <si>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</si>
  <si>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</si>
  <si>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</si>
  <si>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</si>
  <si>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</si>
  <si>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</si>
  <si>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</si>
  <si>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</si>
  <si>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</si>
  <si>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</si>
  <si>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</si>
  <si>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</si>
  <si>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</si>
  <si>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</si>
  <si>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</si>
  <si>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</si>
  <si>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</si>
  <si>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</si>
  <si>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</si>
  <si>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</si>
  <si>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</si>
  <si>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</si>
  <si>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</si>
  <si>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</si>
  <si>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</si>
  <si>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</si>
  <si>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</si>
  <si>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</si>
  <si>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</si>
  <si>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</si>
  <si>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</si>
  <si>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</si>
  <si>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</si>
  <si>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</si>
  <si>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</si>
  <si>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</si>
  <si>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</si>
  <si>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</si>
  <si>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</si>
  <si>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</si>
  <si>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</si>
  <si>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</si>
  <si>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</si>
  <si>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</si>
  <si>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</si>
  <si>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</si>
  <si>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</si>
  <si>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</si>
  <si>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</si>
  <si>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</si>
  <si>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 xml:space="preserve">Լիբոր+4 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</si>
  <si>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</si>
  <si>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</si>
  <si>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</si>
  <si>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</si>
  <si>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</si>
  <si>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</si>
  <si>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</si>
  <si>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</si>
  <si>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</si>
  <si>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</si>
  <si>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</si>
  <si>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</si>
  <si>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</si>
  <si>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</si>
  <si>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</si>
  <si>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</si>
  <si>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</si>
  <si>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</si>
  <si>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</si>
  <si>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</si>
  <si>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</si>
  <si>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</si>
  <si>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</si>
  <si>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</si>
  <si>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</si>
  <si>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</si>
  <si>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</si>
  <si>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</si>
  <si>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</si>
  <si>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</si>
  <si>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</si>
  <si>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</si>
  <si>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</si>
  <si>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</si>
  <si>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</si>
  <si>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</si>
  <si>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</si>
  <si>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</si>
  <si>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</si>
  <si>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</si>
  <si>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</si>
  <si>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</si>
  <si>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</si>
  <si>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</si>
  <si>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</si>
  <si>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</si>
  <si>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</si>
  <si>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</si>
  <si>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</si>
  <si>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</si>
  <si>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</si>
  <si>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</si>
  <si>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</si>
  <si>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</si>
  <si>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</si>
  <si>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</si>
  <si>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</si>
  <si>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Մայր գումար՝                   15.07.2022 -15.07.2025                              Տոկոսագումար՝                 15.10.2020 -15.07.2025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</si>
  <si>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</si>
  <si>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</si>
  <si>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</si>
  <si>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</si>
  <si>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</si>
  <si>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</si>
  <si>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</si>
  <si>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</si>
  <si>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</si>
  <si>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</si>
  <si>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</si>
  <si>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</si>
  <si>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</si>
  <si>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</si>
  <si>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</si>
  <si>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</si>
  <si>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</si>
  <si>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</si>
  <si>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</si>
  <si>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</si>
  <si>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</si>
  <si>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</si>
  <si>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</si>
  <si>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</si>
  <si>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</si>
  <si>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</si>
  <si>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</si>
  <si>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</si>
  <si>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</si>
  <si>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11 հատ տրանսպորտային միջոց և 19 հատ շին.տեխնիկա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</si>
  <si>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</si>
  <si>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</si>
  <si>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</si>
  <si>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</si>
  <si>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</si>
  <si>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</si>
  <si>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</si>
  <si>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</si>
  <si>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</si>
  <si>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</si>
  <si>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</si>
  <si>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</si>
  <si>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</si>
  <si>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</si>
  <si>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</si>
  <si>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Տեղեկանք </t>
  </si>
  <si>
    <t>Պրինցիպալը</t>
  </si>
  <si>
    <t>Բենեֆիցարը</t>
  </si>
  <si>
    <t>Երաշխիքի մարման ամսաթիվը</t>
  </si>
  <si>
    <t>Երաշխիքի գումարը /դրամ/</t>
  </si>
  <si>
    <t>«Սպայկա» ՍՊԸ</t>
  </si>
  <si>
    <t>«ԱՐՄՍՎԻՍԲԱՆԿ» ՓԲԸ</t>
  </si>
  <si>
    <t>11.10.2022թ.</t>
  </si>
  <si>
    <t>«Պռոշյանի կոնյակի գործարան» ՍՊԸ</t>
  </si>
  <si>
    <t>«ՀԱՅԷԿՈՆՈՄԲԱՆԿ» ԲԲԸ</t>
  </si>
  <si>
    <t>15.10.2023թ.</t>
  </si>
  <si>
    <t xml:space="preserve"> «Վիլ Ֆուդ» ՍՊԸ</t>
  </si>
  <si>
    <t>22.10.2022թ.</t>
  </si>
  <si>
    <t>«Արտաշատ-Վինկոն» ՓԲԸ</t>
  </si>
  <si>
    <t>Ընդամենը</t>
  </si>
  <si>
    <t>22.10.2023թ.</t>
  </si>
  <si>
    <t>«Երասխի գինու գործարան»  ՍՊԸ</t>
  </si>
  <si>
    <t>01.11.2023թ.</t>
  </si>
  <si>
    <t>Գերմանիա (KfW)</t>
  </si>
  <si>
    <t xml:space="preserve">ՀՀ կառավարության 25.03.2021թ.  N 415-Ն որոշում </t>
  </si>
  <si>
    <t>1.404%                   1.056%</t>
  </si>
  <si>
    <t>KFW</t>
  </si>
  <si>
    <t>16.04.2023թ.  16.10.2030թ.</t>
  </si>
  <si>
    <t>«ՇԱՏՈ-ԱՌՆՈ» ՍՊԸ</t>
  </si>
  <si>
    <t>«Աստաֆյան Հոլդինգ» ՍՊԸ</t>
  </si>
  <si>
    <t>«Վեդի-Ալկո» ՓԲԸ</t>
  </si>
  <si>
    <t>«Գետափի գինու կոնյակի գործարան» ՍՊԸ</t>
  </si>
  <si>
    <t>«ՀԱՅԱՍՏԱՆԻ ԶԱՐԳԱՑՄԱՆ և ՆԵՐԴՐՈՒՄՆԵՐԻ» ԿՈՐՊՈՐԱՑԻԱ ՈՒՎԿ ՓԲԸ</t>
  </si>
  <si>
    <t>09.11.2023թ.</t>
  </si>
  <si>
    <t>15.11.2023թ.</t>
  </si>
  <si>
    <t>29.11.2023թ.</t>
  </si>
  <si>
    <t>13.12.2023թ.</t>
  </si>
  <si>
    <t>Երաշխիքի գծով պարտավորության մնացորդ /դրամ/</t>
  </si>
  <si>
    <t>&lt;&lt; Երևանի  ավտոբուս&gt;&gt; ՓԲԸ</t>
  </si>
  <si>
    <t>Երևանի քաղաքային ավտոբուսներ ծրագիր</t>
  </si>
  <si>
    <t>ՎԶԵԲ</t>
  </si>
  <si>
    <t>16.04.2025թ.-16.10.2036թ.</t>
  </si>
  <si>
    <t>SOFR</t>
  </si>
  <si>
    <t>Գրավի առարկան հանդիսանալու է ձեռք վբերված հիմանկան միջոցները</t>
  </si>
  <si>
    <t>Ենթավարկի, բյուջետային վարկի, պայմանագրով հանձնված պարտավորության մարման ժամկետը</t>
  </si>
  <si>
    <t>01.07.2023-20.05.2033թ.թ.</t>
  </si>
  <si>
    <t>10.06.2023-08.11.2031թ.թ.</t>
  </si>
  <si>
    <t>10.06.2023-19.03.2033թ.թ.</t>
  </si>
  <si>
    <t>10.06.2023-03.09.2029թ.թ.</t>
  </si>
  <si>
    <t>Գյուղատնտեսության Զարգացման Միջազգային Հիմնադրամ</t>
  </si>
  <si>
    <t>Ենթակառուցվածքների և գյուղական ֆինանսավորման աջակցություն</t>
  </si>
  <si>
    <t>30.06.2025թ. 31.12.2044թ.</t>
  </si>
  <si>
    <t>Ենթավարկային պայմանագրի կնքման ամսաթիվը և համարը</t>
  </si>
  <si>
    <t>07.10.2009թ.</t>
  </si>
  <si>
    <t>25.06.1999թ.</t>
  </si>
  <si>
    <t>13.03.2015թ.</t>
  </si>
  <si>
    <t>12.03.2016թ.</t>
  </si>
  <si>
    <t>27.05.2016թ.</t>
  </si>
  <si>
    <t>18.11.2011թ.</t>
  </si>
  <si>
    <t>02.02.2015թ.</t>
  </si>
  <si>
    <t>11.08.2015թ.</t>
  </si>
  <si>
    <t>14.08.2015թ.</t>
  </si>
  <si>
    <t>06.02.2015թ.</t>
  </si>
  <si>
    <t>30.11.1999թ.</t>
  </si>
  <si>
    <t>12.05.2005թ.</t>
  </si>
  <si>
    <t>04.05.2007թ.</t>
  </si>
  <si>
    <t>12.07.2004թ.</t>
  </si>
  <si>
    <t>30.07.2012թ.</t>
  </si>
  <si>
    <t>21.06.2010թ.</t>
  </si>
  <si>
    <t>20.12.16թ. Ենթավարկային պայմանագիր</t>
  </si>
  <si>
    <t>11.07.2005թ.</t>
  </si>
  <si>
    <t xml:space="preserve">16.02.2004թ.  N4(48)/CP-2004 </t>
  </si>
  <si>
    <t xml:space="preserve"> 24.02.2004թ. N 1(01)CP-2004 վարկային պայմանագիր</t>
  </si>
  <si>
    <t>10.07.2020թ. N 8/20 վարկային պայմանագիր</t>
  </si>
  <si>
    <t>20.10.2021թ. N 10/21 վարկային պայմանագիր</t>
  </si>
  <si>
    <t>22.06.2015թ.  N 6/2015</t>
  </si>
  <si>
    <t>22.06.2016թ.</t>
  </si>
  <si>
    <t>14.06.2016թ.</t>
  </si>
  <si>
    <t>13.07.2010թ.</t>
  </si>
  <si>
    <t>30.05.2013թ.</t>
  </si>
  <si>
    <t>03.05.2011թ.</t>
  </si>
  <si>
    <t>09.02.2015թ.</t>
  </si>
  <si>
    <t xml:space="preserve">08.07.2009թ. Ֆինանսական գործակալության պայմանգիր և 21.02.11թ. Համաձայնագիր </t>
  </si>
  <si>
    <t>12.12.2012թ. Ֆինանսական գործակալության պայմանգիր KFW- AGRO</t>
  </si>
  <si>
    <t>28.07.2005թ. Ենթավարկային պայմանագիր</t>
  </si>
  <si>
    <t>13.01.1998թ. Սուբսիդավորմամբ ֆինանսավորման պայմանագիր</t>
  </si>
  <si>
    <t>11.01.2002թ.ՀԳՓԲ սուբսիդավորման համաձայնագիր</t>
  </si>
  <si>
    <t>28.07.2009թ.</t>
  </si>
  <si>
    <t>02.09.2015թ.</t>
  </si>
  <si>
    <t>05.05.2006         թիվ 1/2006</t>
  </si>
  <si>
    <t>22.12.2017թ.</t>
  </si>
  <si>
    <t>29.12.2017թ.</t>
  </si>
  <si>
    <t>15.02.2018թ.</t>
  </si>
  <si>
    <t xml:space="preserve">15.11.2012թ. </t>
  </si>
  <si>
    <t xml:space="preserve">03.02.2016թ. կնքված </t>
  </si>
  <si>
    <t>09.07.2011թ.  N 1/2011</t>
  </si>
  <si>
    <t>08.11.2012թ.  N 6/2012</t>
  </si>
  <si>
    <t>19.03.2014թ.  N 3/2014</t>
  </si>
  <si>
    <t>03.09.2015թ.   N 3/2015</t>
  </si>
  <si>
    <t>28.12.2015թ. N 11/2015</t>
  </si>
  <si>
    <t>05.02.2016թ.  N 2/2016</t>
  </si>
  <si>
    <t>ՀՀ և Զարգացման միջազգային ընկերակցության միջև 28.01.2005թ. կնքված N 653-AM փոխառության համաձայնագիր</t>
  </si>
  <si>
    <t>ՀՀ և Զարգացման միջազգային ընկերակցության միջև 20.07.2005թ. կնքված N 4095-AM փոխառության համաձայնագիր</t>
  </si>
  <si>
    <t>Հայաստանի Հանրապետության (ԳՖԿ ԾԻԳ ՊՀ) կողմից օգտագործված փոխառությունների համաձայնագիր</t>
  </si>
  <si>
    <t xml:space="preserve"> ԳԶՄՀ միջև  12.11.2014թ-ին կնքված &lt;&lt;Ենթակառուցվածքների և գյուղական ֆինանսավորման աջակցություն&gt;&gt;  համաձայնագիր</t>
  </si>
  <si>
    <t>07.04.2010թ. N 01 կնքված պահանջի իրավունքի զիջման մասին պայմանագիր, 27.12.2017թ. կնքված պայմանագրի փոփոխություն` Համաձայնագիր N 1, 17.04.2019թ. կնքված պայմանագրի փոփոխություն` Համաձայնագիր N 2, 09.04.2021թ. Կնքված հաշտության համաձայնագիր</t>
  </si>
  <si>
    <t>ՀՀ և Վերակառուցման և Զարգացման Եվրոպական Բանկի միջև 24.11.2021թ. կնքված Համաձայնագիր, 04.07.2022թ. Կնքված իրականացման համաձայնագիր</t>
  </si>
  <si>
    <t xml:space="preserve">29.12.2015թ. </t>
  </si>
  <si>
    <t>06.10.11թ. Պարտքի մարման համաձայնագիր</t>
  </si>
  <si>
    <t>29.09.2015թ N6/2015</t>
  </si>
  <si>
    <t>Պահանջի իրավունքի զիջման պայմանագիր 27.12.2016թ.</t>
  </si>
  <si>
    <t>31.03.2020թ
16/310320-1 ֆինանսական գործակալության պայմանագիր, 02.06.2020թ. Փոփոխություններ և լրացումներ կատարելու մասին համաձայնագիր</t>
  </si>
  <si>
    <t xml:space="preserve">25.12.2020թ. Փոխառության պայմանագիր Н420-20 ( ՀՀ կառավարության 27.05.202թ.   854-Լ որոշում, ՀՀ կառավարության 02․07․2020թ․ 1094-Ն որոշում, ՀՀ կառավարության 27.07.2020թ. 1233-Ն որոշում)            </t>
  </si>
  <si>
    <t xml:space="preserve">ՀՀ կառավարության 09.04.2020թ. թիվ 727-Ն որոշում                 </t>
  </si>
  <si>
    <t xml:space="preserve">ՀՀ կառավարության 09.04.2020թ. թիվ 727-Ն որոշում                        </t>
  </si>
  <si>
    <t xml:space="preserve">ՀՀ կառավարության 09.04.2020թ. թիվ 727-Ն որոշում                         </t>
  </si>
  <si>
    <t>ՀՀ կառավարության 09.04.2020թ. թիվ 727-Ն որոշում</t>
  </si>
  <si>
    <t>1993-2020թթ</t>
  </si>
  <si>
    <t>«ԻՆԵԿՈԲԱՆԿ» ՓԲԸ</t>
  </si>
  <si>
    <t>«ԻՋԵՎԱՆԻ ԳԻՆՈՒ, ԿՈՆՅԱԿԻ ԳՈՐԾԱՐԱՆ» ՓԲԸ</t>
  </si>
  <si>
    <t>12.12.2024թ.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</si>
  <si>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31.10.2022թ. դրությամբ </t>
  </si>
  <si>
    <t>Վարկի գումարի չափը</t>
  </si>
  <si>
    <t>Մասհանված գումարի չափը</t>
  </si>
  <si>
    <t>Արտաքին վարկի տրամադրման տարեկան տոկոսադրույքը</t>
  </si>
  <si>
    <t>Արտաքին վարկից մարված գումար</t>
  </si>
  <si>
    <t>Արտաքին վարկի հիմնական գումարի մնացորդ</t>
  </si>
  <si>
    <t>SDR</t>
  </si>
  <si>
    <t xml:space="preserve"> SDR</t>
  </si>
  <si>
    <t>1.8% / 0.75%</t>
  </si>
  <si>
    <t xml:space="preserve">Գերմանական մարկ </t>
  </si>
  <si>
    <t>6-ամսյա Եվրոibor+0.75</t>
  </si>
  <si>
    <t>6-ամսյա Եվրոibor+0.693 կամ ֆիքսված</t>
  </si>
  <si>
    <t>«Կորսան Կորվիամ Կոնստրուկսինո» ԲԸ-ի  հետ կապված և այլ վարկեր</t>
  </si>
  <si>
    <t>«Արարատի գինու գործարան» ՍՊԸ</t>
  </si>
  <si>
    <t xml:space="preserve">«ԵՐԵՎԱՆԻ ՇՈԿՈԼԱԴԻ ԳՈՐԾԱՐԱՆ» ՓԲԸ 
</t>
  </si>
  <si>
    <t>«ԱԿԲԱ ԲԱՆԿ» ԲԲԸ</t>
  </si>
  <si>
    <t>13.01.2024թ.</t>
  </si>
  <si>
    <t>24.01.2026թ.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</si>
  <si>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31.10.22թ. դրությամբ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</si>
</sst>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  <numFmt numFmtId="169" formatCode="_(* #,##0.000_);_(* \(#,##0.000\);_(* &quot;-&quot;??_);_(@_)"/>
    <numFmt numFmtId="170" formatCode="0.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4"/>
      <color theme="1"/>
      <name val="GHEA Grapalat"/>
      <family val="3"/>
    </font>
    <font>
      <b/>
      <sz val="14"/>
      <color theme="1"/>
      <name val="GHEA Grapalat"/>
      <family val="3"/>
    </font>
    <font>
      <b/>
      <i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4" fillId="0" borderId="0"/>
    <xf numFmtId="43" fontId="16" fillId="0" borderId="0" applyFont="0" applyFill="0" applyBorder="0" applyAlignment="0" applyProtection="0"/>
  </cellStyleXfs>
  <cellXfs count="29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0" fontId="11" fillId="0" borderId="0" xfId="0" applyFont="1"/>
    <xf numFmtId="0" fontId="15" fillId="0" borderId="0" xfId="0" applyFont="1"/>
    <xf numFmtId="0" fontId="15" fillId="0" borderId="0" xfId="0" applyFont="1" applyBorder="1"/>
    <xf numFmtId="43" fontId="2" fillId="2" borderId="0" xfId="2" applyFont="1" applyFill="1" applyProtection="1"/>
    <xf numFmtId="0" fontId="2" fillId="2" borderId="0" xfId="1" applyFont="1" applyFill="1" applyProtection="1"/>
    <xf numFmtId="43" fontId="7" fillId="2" borderId="0" xfId="2" applyFont="1" applyFill="1" applyAlignment="1" applyProtection="1"/>
    <xf numFmtId="0" fontId="7" fillId="2" borderId="0" xfId="1" applyFont="1" applyFill="1" applyAlignment="1" applyProtection="1"/>
    <xf numFmtId="43" fontId="2" fillId="2" borderId="0" xfId="2" applyFont="1" applyFill="1" applyBorder="1" applyProtection="1"/>
    <xf numFmtId="0" fontId="2" fillId="2" borderId="0" xfId="1" applyFont="1" applyFill="1" applyBorder="1" applyProtection="1"/>
    <xf numFmtId="165" fontId="7" fillId="2" borderId="14" xfId="4" applyNumberFormat="1" applyFont="1" applyFill="1" applyBorder="1" applyAlignment="1" applyProtection="1">
      <alignment vertical="center"/>
    </xf>
    <xf numFmtId="165" fontId="7" fillId="2" borderId="2" xfId="4" applyNumberFormat="1" applyFont="1" applyFill="1" applyBorder="1" applyAlignment="1" applyProtection="1">
      <alignment vertical="center"/>
    </xf>
    <xf numFmtId="165" fontId="7" fillId="2" borderId="10" xfId="4" applyNumberFormat="1" applyFont="1" applyFill="1" applyBorder="1" applyAlignment="1" applyProtection="1">
      <alignment vertical="center"/>
    </xf>
    <xf numFmtId="43" fontId="9" fillId="2" borderId="0" xfId="2" applyFont="1" applyFill="1" applyProtection="1"/>
    <xf numFmtId="0" fontId="9" fillId="2" borderId="0" xfId="1" applyFont="1" applyFill="1" applyProtection="1"/>
    <xf numFmtId="165" fontId="7" fillId="2" borderId="17" xfId="4" applyNumberFormat="1" applyFont="1" applyFill="1" applyBorder="1" applyAlignment="1" applyProtection="1">
      <alignment vertical="center"/>
    </xf>
    <xf numFmtId="165" fontId="7" fillId="2" borderId="3" xfId="4" applyNumberFormat="1" applyFont="1" applyFill="1" applyBorder="1" applyAlignment="1" applyProtection="1">
      <alignment vertical="center"/>
    </xf>
    <xf numFmtId="43" fontId="9" fillId="2" borderId="0" xfId="9" applyFont="1" applyFill="1" applyProtection="1"/>
    <xf numFmtId="0" fontId="2" fillId="2" borderId="7" xfId="1" applyFont="1" applyFill="1" applyBorder="1" applyAlignment="1" applyProtection="1">
      <alignment horizontal="center" vertical="center" wrapText="1"/>
    </xf>
    <xf numFmtId="165" fontId="7" fillId="2" borderId="0" xfId="4" applyNumberFormat="1" applyFont="1" applyFill="1" applyBorder="1" applyAlignment="1" applyProtection="1">
      <alignment vertical="center"/>
    </xf>
    <xf numFmtId="43" fontId="2" fillId="2" borderId="0" xfId="1" applyNumberFormat="1" applyFont="1" applyFill="1" applyProtection="1"/>
    <xf numFmtId="165" fontId="2" fillId="2" borderId="0" xfId="4" applyNumberFormat="1" applyFont="1" applyFill="1" applyProtection="1"/>
    <xf numFmtId="0" fontId="2" fillId="2" borderId="0" xfId="1" applyFont="1" applyFill="1" applyAlignment="1" applyProtection="1">
      <alignment horizontal="center"/>
    </xf>
    <xf numFmtId="169" fontId="2" fillId="2" borderId="0" xfId="0" applyNumberFormat="1" applyFont="1" applyFill="1" applyProtection="1"/>
    <xf numFmtId="1" fontId="2" fillId="2" borderId="0" xfId="1" applyNumberFormat="1" applyFont="1" applyFill="1" applyAlignment="1" applyProtection="1">
      <alignment horizontal="center"/>
    </xf>
    <xf numFmtId="0" fontId="2" fillId="2" borderId="0" xfId="1" applyNumberFormat="1" applyFont="1" applyFill="1" applyAlignment="1" applyProtection="1">
      <alignment horizontal="center"/>
    </xf>
    <xf numFmtId="10" fontId="2" fillId="2" borderId="0" xfId="6" applyNumberFormat="1" applyFont="1" applyFill="1" applyAlignment="1" applyProtection="1">
      <alignment horizontal="center"/>
    </xf>
    <xf numFmtId="0" fontId="7" fillId="2" borderId="19" xfId="1" applyFont="1" applyFill="1" applyBorder="1" applyAlignment="1" applyProtection="1">
      <alignment horizontal="center" vertical="center" wrapText="1"/>
    </xf>
    <xf numFmtId="0" fontId="7" fillId="2" borderId="20" xfId="1" applyFont="1" applyFill="1" applyBorder="1" applyAlignment="1" applyProtection="1">
      <alignment horizontal="center" vertical="center" wrapText="1"/>
    </xf>
    <xf numFmtId="0" fontId="7" fillId="2" borderId="20" xfId="1" quotePrefix="1" applyNumberFormat="1" applyFont="1" applyFill="1" applyBorder="1" applyAlignment="1" applyProtection="1">
      <alignment horizontal="center" vertical="center" wrapText="1"/>
    </xf>
    <xf numFmtId="10" fontId="7" fillId="2" borderId="20" xfId="6" applyNumberFormat="1" applyFont="1" applyFill="1" applyBorder="1" applyAlignment="1" applyProtection="1">
      <alignment horizontal="center" vertical="center" wrapText="1"/>
    </xf>
    <xf numFmtId="0" fontId="7" fillId="2" borderId="18" xfId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vertical="center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vertical="center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16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10" fontId="2" fillId="2" borderId="2" xfId="6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vertical="center" wrapText="1"/>
    </xf>
    <xf numFmtId="165" fontId="2" fillId="2" borderId="3" xfId="4" applyNumberFormat="1" applyFont="1" applyFill="1" applyBorder="1" applyAlignment="1" applyProtection="1">
      <alignment vertical="center" wrapText="1"/>
    </xf>
    <xf numFmtId="167" fontId="2" fillId="2" borderId="2" xfId="6" applyNumberFormat="1" applyFont="1" applyFill="1" applyBorder="1" applyAlignment="1" applyProtection="1">
      <alignment horizontal="center" vertical="center" wrapText="1"/>
    </xf>
    <xf numFmtId="43" fontId="2" fillId="2" borderId="2" xfId="4" applyFont="1" applyFill="1" applyBorder="1" applyAlignment="1" applyProtection="1">
      <alignment horizontal="center" vertical="center" wrapText="1"/>
    </xf>
    <xf numFmtId="165" fontId="2" fillId="2" borderId="2" xfId="3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Protection="1"/>
    <xf numFmtId="165" fontId="2" fillId="2" borderId="2" xfId="7" applyNumberFormat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4" applyNumberFormat="1" applyFont="1" applyFill="1" applyBorder="1" applyAlignment="1" applyProtection="1">
      <alignment horizontal="center" vertical="center" wrapText="1"/>
    </xf>
    <xf numFmtId="168" fontId="2" fillId="2" borderId="1" xfId="6" applyNumberFormat="1" applyFont="1" applyFill="1" applyBorder="1" applyAlignment="1" applyProtection="1">
      <alignment horizontal="center" vertical="center" wrapText="1"/>
    </xf>
    <xf numFmtId="43" fontId="2" fillId="2" borderId="2" xfId="1" applyNumberFormat="1" applyFont="1" applyFill="1" applyBorder="1" applyAlignment="1" applyProtection="1">
      <alignment horizontal="center" vertical="center" wrapText="1"/>
    </xf>
    <xf numFmtId="43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43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15" xfId="4" applyNumberFormat="1" applyFont="1" applyFill="1" applyBorder="1" applyAlignment="1" applyProtection="1">
      <alignment horizontal="center" vertical="center" wrapText="1"/>
    </xf>
    <xf numFmtId="165" fontId="2" fillId="2" borderId="15" xfId="4" applyNumberFormat="1" applyFont="1" applyFill="1" applyBorder="1" applyAlignment="1" applyProtection="1">
      <alignment vertical="center" wrapText="1"/>
    </xf>
    <xf numFmtId="2" fontId="7" fillId="2" borderId="17" xfId="1" applyNumberFormat="1" applyFont="1" applyFill="1" applyBorder="1" applyAlignment="1" applyProtection="1">
      <alignment vertical="center"/>
    </xf>
    <xf numFmtId="2" fontId="7" fillId="2" borderId="2" xfId="1" applyNumberFormat="1" applyFont="1" applyFill="1" applyBorder="1" applyAlignment="1" applyProtection="1">
      <alignment vertical="center"/>
    </xf>
    <xf numFmtId="2" fontId="7" fillId="2" borderId="10" xfId="1" applyNumberFormat="1" applyFont="1" applyFill="1" applyBorder="1" applyAlignment="1" applyProtection="1">
      <alignment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2" xfId="1" quotePrefix="1" applyNumberFormat="1" applyFont="1" applyFill="1" applyBorder="1" applyAlignment="1" applyProtection="1">
      <alignment horizontal="center" vertical="center" wrapText="1"/>
    </xf>
    <xf numFmtId="1" fontId="2" fillId="2" borderId="16" xfId="1" applyNumberFormat="1" applyFont="1" applyFill="1" applyBorder="1" applyAlignment="1" applyProtection="1">
      <alignment horizontal="center" vertical="center" wrapText="1"/>
    </xf>
    <xf numFmtId="9" fontId="9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2" applyNumberFormat="1" applyFont="1" applyFill="1" applyBorder="1" applyAlignment="1" applyProtection="1">
      <alignment horizontal="left" vertical="center" wrapText="1"/>
    </xf>
    <xf numFmtId="9" fontId="2" fillId="2" borderId="2" xfId="8" applyFont="1" applyFill="1" applyBorder="1" applyAlignment="1" applyProtection="1">
      <alignment horizontal="center" vertical="center" wrapText="1"/>
    </xf>
    <xf numFmtId="167" fontId="2" fillId="2" borderId="2" xfId="8" applyNumberFormat="1" applyFont="1" applyFill="1" applyBorder="1" applyAlignment="1" applyProtection="1">
      <alignment horizontal="center" vertical="center" wrapText="1"/>
    </xf>
    <xf numFmtId="168" fontId="2" fillId="2" borderId="2" xfId="8" applyNumberFormat="1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</xf>
    <xf numFmtId="10" fontId="2" fillId="2" borderId="1" xfId="8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26" xfId="1" applyFont="1" applyFill="1" applyBorder="1" applyAlignment="1" applyProtection="1">
      <alignment horizontal="center" vertical="center" wrapText="1"/>
    </xf>
    <xf numFmtId="167" fontId="2" fillId="2" borderId="1" xfId="8" applyNumberFormat="1" applyFont="1" applyFill="1" applyBorder="1" applyAlignment="1" applyProtection="1">
      <alignment horizontal="center" vertical="center" wrapText="1"/>
    </xf>
    <xf numFmtId="165" fontId="2" fillId="2" borderId="1" xfId="2" applyNumberFormat="1" applyFont="1" applyFill="1" applyBorder="1" applyAlignment="1" applyProtection="1">
      <alignment horizontal="left" vertical="center" wrapText="1"/>
    </xf>
    <xf numFmtId="0" fontId="2" fillId="2" borderId="17" xfId="1" applyFont="1" applyFill="1" applyBorder="1" applyAlignment="1" applyProtection="1">
      <alignment horizontal="center" vertical="center" wrapText="1"/>
    </xf>
    <xf numFmtId="1" fontId="2" fillId="2" borderId="34" xfId="1" applyNumberFormat="1" applyFont="1" applyFill="1" applyBorder="1" applyAlignment="1" applyProtection="1">
      <alignment horizontal="center" vertical="center" wrapText="1"/>
    </xf>
    <xf numFmtId="167" fontId="2" fillId="2" borderId="15" xfId="6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9" fontId="2" fillId="2" borderId="31" xfId="1" applyNumberFormat="1" applyFont="1" applyFill="1" applyBorder="1" applyAlignment="1" applyProtection="1">
      <alignment horizontal="center" vertical="center" wrapText="1"/>
    </xf>
    <xf numFmtId="2" fontId="2" fillId="2" borderId="31" xfId="1" applyNumberFormat="1" applyFont="1" applyFill="1" applyBorder="1" applyAlignment="1" applyProtection="1">
      <alignment horizontal="center" vertical="center" wrapText="1"/>
    </xf>
    <xf numFmtId="2" fontId="2" fillId="2" borderId="10" xfId="1" applyNumberFormat="1" applyFont="1" applyFill="1" applyBorder="1" applyAlignment="1" applyProtection="1">
      <alignment horizontal="center" vertical="center" wrapText="1"/>
    </xf>
    <xf numFmtId="165" fontId="2" fillId="2" borderId="10" xfId="4" applyNumberFormat="1" applyFont="1" applyFill="1" applyBorder="1" applyAlignment="1" applyProtection="1">
      <alignment horizontal="center" vertical="center" wrapText="1"/>
    </xf>
    <xf numFmtId="167" fontId="2" fillId="2" borderId="10" xfId="6" applyNumberFormat="1" applyFont="1" applyFill="1" applyBorder="1" applyAlignment="1" applyProtection="1">
      <alignment horizontal="center" vertical="center" wrapText="1"/>
    </xf>
    <xf numFmtId="165" fontId="2" fillId="2" borderId="10" xfId="1" applyNumberFormat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15" xfId="2" applyNumberFormat="1" applyFont="1" applyFill="1" applyBorder="1" applyAlignment="1" applyProtection="1">
      <alignment horizontal="left" vertical="center" wrapText="1"/>
    </xf>
    <xf numFmtId="1" fontId="2" fillId="2" borderId="35" xfId="1" applyNumberFormat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/>
    </xf>
    <xf numFmtId="2" fontId="7" fillId="2" borderId="3" xfId="1" applyNumberFormat="1" applyFont="1" applyFill="1" applyBorder="1" applyAlignment="1" applyProtection="1">
      <alignment vertical="center"/>
    </xf>
    <xf numFmtId="2" fontId="7" fillId="2" borderId="1" xfId="1" applyNumberFormat="1" applyFont="1" applyFill="1" applyBorder="1" applyAlignment="1" applyProtection="1">
      <alignment vertical="center"/>
    </xf>
    <xf numFmtId="165" fontId="7" fillId="2" borderId="15" xfId="4" applyNumberFormat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horizontal="center" vertical="center" wrapText="1"/>
    </xf>
    <xf numFmtId="1" fontId="2" fillId="2" borderId="19" xfId="1" applyNumberFormat="1" applyFont="1" applyFill="1" applyBorder="1" applyAlignment="1" applyProtection="1">
      <alignment horizontal="center" vertical="center" wrapText="1"/>
    </xf>
    <xf numFmtId="0" fontId="2" fillId="2" borderId="20" xfId="1" applyFont="1" applyFill="1" applyBorder="1" applyAlignment="1" applyProtection="1">
      <alignment horizontal="center" vertical="center" wrapText="1"/>
    </xf>
    <xf numFmtId="165" fontId="2" fillId="2" borderId="20" xfId="4" applyNumberFormat="1" applyFont="1" applyFill="1" applyBorder="1" applyAlignment="1" applyProtection="1">
      <alignment horizontal="center" vertical="center" wrapText="1"/>
    </xf>
    <xf numFmtId="168" fontId="2" fillId="2" borderId="20" xfId="8" applyNumberFormat="1" applyFont="1" applyFill="1" applyBorder="1" applyAlignment="1" applyProtection="1">
      <alignment horizontal="center" vertical="center" wrapText="1"/>
    </xf>
    <xf numFmtId="165" fontId="2" fillId="2" borderId="6" xfId="2" applyNumberFormat="1" applyFont="1" applyFill="1" applyBorder="1" applyAlignment="1" applyProtection="1">
      <alignment horizontal="left" vertical="center" wrapText="1"/>
    </xf>
    <xf numFmtId="0" fontId="2" fillId="2" borderId="36" xfId="1" applyFont="1" applyFill="1" applyBorder="1" applyAlignment="1" applyProtection="1">
      <alignment horizontal="center" vertical="center" wrapText="1"/>
    </xf>
    <xf numFmtId="1" fontId="8" fillId="2" borderId="0" xfId="1" applyNumberFormat="1" applyFont="1" applyFill="1" applyBorder="1" applyAlignment="1" applyProtection="1">
      <alignment horizontal="center" vertical="center" wrapText="1"/>
    </xf>
    <xf numFmtId="2" fontId="7" fillId="2" borderId="0" xfId="1" applyNumberFormat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</xf>
    <xf numFmtId="1" fontId="10" fillId="2" borderId="0" xfId="1" applyNumberFormat="1" applyFont="1" applyFill="1" applyAlignment="1" applyProtection="1">
      <alignment horizontal="center"/>
    </xf>
    <xf numFmtId="0" fontId="10" fillId="2" borderId="0" xfId="1" applyFont="1" applyFill="1" applyProtection="1"/>
    <xf numFmtId="0" fontId="2" fillId="2" borderId="0" xfId="1" applyNumberFormat="1" applyFont="1" applyFill="1" applyProtection="1"/>
    <xf numFmtId="2" fontId="7" fillId="2" borderId="0" xfId="1" applyNumberFormat="1" applyFont="1" applyFill="1" applyBorder="1" applyAlignment="1" applyProtection="1">
      <alignment vertical="center"/>
    </xf>
    <xf numFmtId="10" fontId="2" fillId="2" borderId="0" xfId="6" applyNumberFormat="1" applyFont="1" applyFill="1" applyProtection="1"/>
    <xf numFmtId="165" fontId="2" fillId="2" borderId="0" xfId="1" applyNumberFormat="1" applyFont="1" applyFill="1" applyProtection="1"/>
    <xf numFmtId="165" fontId="2" fillId="2" borderId="0" xfId="6" applyNumberFormat="1" applyFont="1" applyFill="1" applyProtection="1"/>
    <xf numFmtId="43" fontId="2" fillId="2" borderId="0" xfId="4" applyNumberFormat="1" applyFont="1" applyFill="1" applyProtection="1"/>
    <xf numFmtId="165" fontId="2" fillId="2" borderId="0" xfId="9" applyNumberFormat="1" applyFont="1" applyFill="1" applyAlignment="1" applyProtection="1"/>
    <xf numFmtId="170" fontId="10" fillId="2" borderId="0" xfId="1" applyNumberFormat="1" applyFont="1" applyFill="1" applyProtection="1"/>
    <xf numFmtId="165" fontId="2" fillId="2" borderId="0" xfId="9" applyNumberFormat="1" applyFont="1" applyFill="1" applyProtection="1"/>
    <xf numFmtId="169" fontId="2" fillId="2" borderId="0" xfId="1" applyNumberFormat="1" applyFont="1" applyFill="1" applyProtection="1"/>
    <xf numFmtId="165" fontId="2" fillId="2" borderId="10" xfId="3" applyNumberFormat="1" applyFont="1" applyFill="1" applyBorder="1" applyAlignment="1" applyProtection="1">
      <alignment horizontal="center" vertical="center" wrapText="1"/>
    </xf>
    <xf numFmtId="165" fontId="2" fillId="2" borderId="20" xfId="3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4" xfId="1" applyFont="1" applyFill="1" applyBorder="1" applyAlignment="1" applyProtection="1">
      <alignment horizontal="center" vertical="center" wrapText="1"/>
    </xf>
    <xf numFmtId="0" fontId="2" fillId="2" borderId="34" xfId="1" applyFont="1" applyFill="1" applyBorder="1" applyAlignment="1" applyProtection="1">
      <alignment horizontal="center" vertical="center" wrapText="1"/>
    </xf>
    <xf numFmtId="0" fontId="2" fillId="2" borderId="28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15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10" fontId="2" fillId="2" borderId="3" xfId="1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9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9" fontId="2" fillId="2" borderId="15" xfId="1" applyNumberFormat="1" applyFont="1" applyFill="1" applyBorder="1" applyAlignment="1" applyProtection="1">
      <alignment horizontal="center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17" fillId="0" borderId="2" xfId="5" applyNumberFormat="1" applyFont="1" applyBorder="1" applyAlignment="1">
      <alignment horizontal="center" vertical="center" wrapText="1"/>
    </xf>
    <xf numFmtId="165" fontId="17" fillId="0" borderId="2" xfId="2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0" fontId="2" fillId="2" borderId="34" xfId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2" fontId="7" fillId="2" borderId="48" xfId="1" applyNumberFormat="1" applyFont="1" applyFill="1" applyBorder="1" applyAlignment="1" applyProtection="1">
      <alignment vertical="center"/>
    </xf>
    <xf numFmtId="165" fontId="7" fillId="2" borderId="48" xfId="4" applyNumberFormat="1" applyFont="1" applyFill="1" applyBorder="1" applyAlignment="1" applyProtection="1">
      <alignment vertical="center"/>
    </xf>
    <xf numFmtId="0" fontId="7" fillId="2" borderId="36" xfId="1" applyFont="1" applyFill="1" applyBorder="1" applyAlignment="1" applyProtection="1">
      <alignment horizontal="center" vertical="center" wrapText="1"/>
    </xf>
    <xf numFmtId="0" fontId="2" fillId="2" borderId="28" xfId="1" applyFont="1" applyFill="1" applyBorder="1" applyAlignment="1" applyProtection="1">
      <alignment vertical="center" wrapText="1"/>
    </xf>
    <xf numFmtId="0" fontId="2" fillId="2" borderId="16" xfId="1" applyFont="1" applyFill="1" applyBorder="1" applyAlignment="1" applyProtection="1">
      <alignment vertical="center" wrapText="1"/>
    </xf>
    <xf numFmtId="0" fontId="2" fillId="2" borderId="35" xfId="1" applyFont="1" applyFill="1" applyBorder="1" applyAlignment="1" applyProtection="1">
      <alignment horizontal="center" vertical="center" wrapText="1"/>
    </xf>
    <xf numFmtId="0" fontId="2" fillId="2" borderId="49" xfId="1" applyFont="1" applyFill="1" applyBorder="1" applyAlignment="1" applyProtection="1">
      <alignment horizontal="center" vertical="center" wrapText="1"/>
    </xf>
    <xf numFmtId="0" fontId="2" fillId="2" borderId="50" xfId="1" applyFont="1" applyFill="1" applyBorder="1" applyAlignment="1" applyProtection="1">
      <alignment horizontal="center" vertical="center" wrapText="1"/>
    </xf>
    <xf numFmtId="2" fontId="2" fillId="2" borderId="7" xfId="1" applyNumberFormat="1" applyFont="1" applyFill="1" applyBorder="1" applyAlignment="1" applyProtection="1">
      <alignment horizontal="center" vertical="center" wrapText="1"/>
    </xf>
    <xf numFmtId="2" fontId="2" fillId="2" borderId="11" xfId="1" applyNumberFormat="1" applyFont="1" applyFill="1" applyBorder="1" applyAlignment="1" applyProtection="1">
      <alignment horizontal="center" vertical="center" wrapText="1"/>
    </xf>
    <xf numFmtId="0" fontId="2" fillId="2" borderId="51" xfId="1" applyFont="1" applyFill="1" applyBorder="1" applyAlignment="1" applyProtection="1">
      <alignment horizontal="center" vertical="center" wrapText="1"/>
    </xf>
    <xf numFmtId="2" fontId="2" fillId="2" borderId="22" xfId="1" applyNumberFormat="1" applyFont="1" applyFill="1" applyBorder="1" applyAlignment="1" applyProtection="1">
      <alignment horizontal="center" vertical="center" wrapText="1"/>
    </xf>
    <xf numFmtId="165" fontId="7" fillId="2" borderId="52" xfId="4" applyNumberFormat="1" applyFont="1" applyFill="1" applyBorder="1" applyAlignment="1" applyProtection="1">
      <alignment vertical="center"/>
    </xf>
    <xf numFmtId="165" fontId="7" fillId="2" borderId="50" xfId="4" applyNumberFormat="1" applyFont="1" applyFill="1" applyBorder="1" applyAlignment="1" applyProtection="1">
      <alignment vertical="center"/>
    </xf>
    <xf numFmtId="165" fontId="7" fillId="2" borderId="51" xfId="4" applyNumberFormat="1" applyFont="1" applyFill="1" applyBorder="1" applyAlignment="1" applyProtection="1">
      <alignment vertical="center"/>
    </xf>
    <xf numFmtId="165" fontId="7" fillId="2" borderId="54" xfId="4" applyNumberFormat="1" applyFont="1" applyFill="1" applyBorder="1" applyAlignment="1" applyProtection="1">
      <alignment vertical="center"/>
    </xf>
    <xf numFmtId="2" fontId="2" fillId="2" borderId="9" xfId="1" applyNumberFormat="1" applyFont="1" applyFill="1" applyBorder="1" applyAlignment="1" applyProtection="1">
      <alignment horizontal="center" vertical="center" wrapText="1"/>
    </xf>
    <xf numFmtId="165" fontId="7" fillId="2" borderId="56" xfId="4" applyNumberFormat="1" applyFont="1" applyFill="1" applyBorder="1" applyAlignment="1" applyProtection="1">
      <alignment vertical="center"/>
    </xf>
    <xf numFmtId="1" fontId="2" fillId="2" borderId="50" xfId="1" applyNumberFormat="1" applyFont="1" applyFill="1" applyBorder="1" applyAlignment="1" applyProtection="1">
      <alignment horizontal="center" vertical="center" wrapText="1"/>
    </xf>
    <xf numFmtId="1" fontId="2" fillId="2" borderId="51" xfId="1" applyNumberFormat="1" applyFont="1" applyFill="1" applyBorder="1" applyAlignment="1" applyProtection="1">
      <alignment horizontal="center" vertical="center" wrapText="1"/>
    </xf>
    <xf numFmtId="9" fontId="2" fillId="2" borderId="11" xfId="1" applyNumberFormat="1" applyFont="1" applyFill="1" applyBorder="1" applyAlignment="1" applyProtection="1">
      <alignment horizontal="center" vertical="center" wrapText="1"/>
    </xf>
    <xf numFmtId="0" fontId="2" fillId="2" borderId="41" xfId="1" applyFont="1" applyFill="1" applyBorder="1" applyAlignment="1" applyProtection="1">
      <alignment horizontal="center" vertical="center" wrapText="1"/>
    </xf>
    <xf numFmtId="1" fontId="2" fillId="2" borderId="57" xfId="1" applyNumberFormat="1" applyFont="1" applyFill="1" applyBorder="1" applyAlignment="1" applyProtection="1">
      <alignment horizontal="center" vertical="center" wrapText="1"/>
    </xf>
    <xf numFmtId="1" fontId="2" fillId="2" borderId="11" xfId="1" applyNumberFormat="1" applyFont="1" applyFill="1" applyBorder="1" applyAlignment="1" applyProtection="1">
      <alignment horizontal="center" vertical="center" wrapText="1"/>
    </xf>
    <xf numFmtId="165" fontId="7" fillId="2" borderId="49" xfId="4" applyNumberFormat="1" applyFont="1" applyFill="1" applyBorder="1" applyAlignment="1" applyProtection="1">
      <alignment vertical="center"/>
    </xf>
    <xf numFmtId="0" fontId="2" fillId="2" borderId="19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1" fontId="8" fillId="2" borderId="38" xfId="1" applyNumberFormat="1" applyFont="1" applyFill="1" applyBorder="1" applyAlignment="1" applyProtection="1">
      <alignment horizontal="center" vertical="center" wrapText="1"/>
    </xf>
    <xf numFmtId="1" fontId="8" fillId="2" borderId="39" xfId="1" applyNumberFormat="1" applyFont="1" applyFill="1" applyBorder="1" applyAlignment="1" applyProtection="1">
      <alignment horizontal="center" vertical="center" wrapText="1"/>
    </xf>
    <xf numFmtId="1" fontId="8" fillId="2" borderId="40" xfId="1" applyNumberFormat="1" applyFont="1" applyFill="1" applyBorder="1" applyAlignment="1" applyProtection="1">
      <alignment horizontal="center" vertical="center" wrapText="1"/>
    </xf>
    <xf numFmtId="1" fontId="8" fillId="2" borderId="0" xfId="1" applyNumberFormat="1" applyFont="1" applyFill="1" applyBorder="1" applyAlignment="1" applyProtection="1">
      <alignment horizontal="center" vertical="center" wrapText="1"/>
    </xf>
    <xf numFmtId="1" fontId="8" fillId="2" borderId="41" xfId="1" applyNumberFormat="1" applyFont="1" applyFill="1" applyBorder="1" applyAlignment="1" applyProtection="1">
      <alignment horizontal="center" vertical="center" wrapText="1"/>
    </xf>
    <xf numFmtId="1" fontId="8" fillId="2" borderId="31" xfId="1" applyNumberFormat="1" applyFont="1" applyFill="1" applyBorder="1" applyAlignment="1" applyProtection="1">
      <alignment horizontal="center" vertical="center" wrapText="1"/>
    </xf>
    <xf numFmtId="2" fontId="7" fillId="2" borderId="43" xfId="1" applyNumberFormat="1" applyFont="1" applyFill="1" applyBorder="1" applyAlignment="1" applyProtection="1">
      <alignment horizontal="center" vertical="center"/>
    </xf>
    <xf numFmtId="2" fontId="7" fillId="2" borderId="33" xfId="1" applyNumberFormat="1" applyFont="1" applyFill="1" applyBorder="1" applyAlignment="1" applyProtection="1">
      <alignment horizontal="center" vertical="center"/>
    </xf>
    <xf numFmtId="2" fontId="7" fillId="2" borderId="23" xfId="1" applyNumberFormat="1" applyFont="1" applyFill="1" applyBorder="1" applyAlignment="1" applyProtection="1">
      <alignment horizontal="center" vertical="center"/>
    </xf>
    <xf numFmtId="2" fontId="7" fillId="2" borderId="25" xfId="1" applyNumberFormat="1" applyFont="1" applyFill="1" applyBorder="1" applyAlignment="1" applyProtection="1">
      <alignment horizontal="center" vertical="center"/>
    </xf>
    <xf numFmtId="2" fontId="7" fillId="2" borderId="29" xfId="1" applyNumberFormat="1" applyFont="1" applyFill="1" applyBorder="1" applyAlignment="1" applyProtection="1">
      <alignment horizontal="center" vertical="center"/>
    </xf>
    <xf numFmtId="2" fontId="7" fillId="2" borderId="12" xfId="1" applyNumberFormat="1" applyFont="1" applyFill="1" applyBorder="1" applyAlignment="1" applyProtection="1">
      <alignment horizontal="center" vertical="center"/>
    </xf>
    <xf numFmtId="2" fontId="7" fillId="2" borderId="42" xfId="1" applyNumberFormat="1" applyFont="1" applyFill="1" applyBorder="1" applyAlignment="1" applyProtection="1">
      <alignment horizontal="center" vertical="center"/>
    </xf>
    <xf numFmtId="2" fontId="7" fillId="2" borderId="32" xfId="1" applyNumberFormat="1" applyFont="1" applyFill="1" applyBorder="1" applyAlignment="1" applyProtection="1">
      <alignment horizontal="center" vertical="center"/>
    </xf>
    <xf numFmtId="2" fontId="7" fillId="2" borderId="13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0" fontId="2" fillId="2" borderId="24" xfId="1" applyFont="1" applyFill="1" applyBorder="1" applyAlignment="1" applyProtection="1">
      <alignment horizontal="center" vertical="center" wrapText="1"/>
    </xf>
    <xf numFmtId="0" fontId="2" fillId="2" borderId="34" xfId="1" applyFont="1" applyFill="1" applyBorder="1" applyAlignment="1" applyProtection="1">
      <alignment horizontal="center" vertical="center" wrapText="1"/>
    </xf>
    <xf numFmtId="0" fontId="2" fillId="2" borderId="35" xfId="1" applyFont="1" applyFill="1" applyBorder="1" applyAlignment="1" applyProtection="1">
      <alignment horizontal="center" vertical="center" wrapText="1"/>
    </xf>
    <xf numFmtId="0" fontId="2" fillId="2" borderId="30" xfId="1" applyFont="1" applyFill="1" applyBorder="1" applyAlignment="1" applyProtection="1">
      <alignment horizontal="center" vertical="center" wrapText="1"/>
    </xf>
    <xf numFmtId="0" fontId="2" fillId="2" borderId="51" xfId="1" applyFont="1" applyFill="1" applyBorder="1" applyAlignment="1" applyProtection="1">
      <alignment horizontal="center" vertical="center" wrapText="1"/>
    </xf>
    <xf numFmtId="0" fontId="2" fillId="2" borderId="49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28" xfId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1" fontId="2" fillId="2" borderId="51" xfId="1" applyNumberFormat="1" applyFont="1" applyFill="1" applyBorder="1" applyAlignment="1" applyProtection="1">
      <alignment horizontal="center" vertical="center" wrapText="1"/>
    </xf>
    <xf numFmtId="1" fontId="2" fillId="2" borderId="57" xfId="1" applyNumberFormat="1" applyFont="1" applyFill="1" applyBorder="1" applyAlignment="1" applyProtection="1">
      <alignment horizontal="center" vertical="center" wrapText="1"/>
    </xf>
    <xf numFmtId="1" fontId="2" fillId="2" borderId="49" xfId="1" applyNumberFormat="1" applyFont="1" applyFill="1" applyBorder="1" applyAlignment="1" applyProtection="1">
      <alignment horizontal="center" vertical="center" wrapText="1"/>
    </xf>
    <xf numFmtId="0" fontId="2" fillId="2" borderId="26" xfId="1" applyFont="1" applyFill="1" applyBorder="1" applyAlignment="1" applyProtection="1">
      <alignment horizontal="center" vertical="center" wrapText="1"/>
    </xf>
    <xf numFmtId="0" fontId="2" fillId="2" borderId="27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2" fontId="2" fillId="2" borderId="11" xfId="1" applyNumberFormat="1" applyFont="1" applyFill="1" applyBorder="1" applyAlignment="1" applyProtection="1">
      <alignment horizontal="center" vertical="center" wrapText="1"/>
    </xf>
    <xf numFmtId="2" fontId="2" fillId="2" borderId="9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0" fontId="2" fillId="2" borderId="21" xfId="1" applyFont="1" applyFill="1" applyBorder="1" applyAlignment="1" applyProtection="1">
      <alignment horizontal="center" vertical="center" wrapText="1"/>
    </xf>
    <xf numFmtId="1" fontId="2" fillId="2" borderId="24" xfId="1" applyNumberFormat="1" applyFont="1" applyFill="1" applyBorder="1" applyAlignment="1" applyProtection="1">
      <alignment horizontal="center" vertical="center" wrapText="1"/>
    </xf>
    <xf numFmtId="0" fontId="2" fillId="2" borderId="55" xfId="1" applyFont="1" applyFill="1" applyBorder="1" applyAlignment="1" applyProtection="1">
      <alignment horizontal="center" vertical="center" wrapText="1"/>
    </xf>
    <xf numFmtId="2" fontId="7" fillId="2" borderId="53" xfId="1" applyNumberFormat="1" applyFont="1" applyFill="1" applyBorder="1" applyAlignment="1" applyProtection="1">
      <alignment horizontal="center" vertical="center"/>
    </xf>
    <xf numFmtId="2" fontId="7" fillId="2" borderId="46" xfId="1" applyNumberFormat="1" applyFont="1" applyFill="1" applyBorder="1" applyAlignment="1" applyProtection="1">
      <alignment horizontal="center" vertical="center"/>
    </xf>
    <xf numFmtId="2" fontId="7" fillId="2" borderId="47" xfId="1" applyNumberFormat="1" applyFont="1" applyFill="1" applyBorder="1" applyAlignment="1" applyProtection="1">
      <alignment horizontal="center" vertical="center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167" fontId="2" fillId="2" borderId="3" xfId="6" applyNumberFormat="1" applyFont="1" applyFill="1" applyBorder="1" applyAlignment="1" applyProtection="1">
      <alignment horizontal="center" vertical="center" wrapText="1"/>
    </xf>
    <xf numFmtId="2" fontId="7" fillId="2" borderId="44" xfId="1" applyNumberFormat="1" applyFont="1" applyFill="1" applyBorder="1" applyAlignment="1" applyProtection="1">
      <alignment horizontal="center" vertical="center"/>
    </xf>
    <xf numFmtId="2" fontId="7" fillId="2" borderId="45" xfId="1" applyNumberFormat="1" applyFont="1" applyFill="1" applyBorder="1" applyAlignment="1" applyProtection="1">
      <alignment horizontal="center" vertical="center"/>
    </xf>
    <xf numFmtId="2" fontId="7" fillId="2" borderId="26" xfId="1" applyNumberFormat="1" applyFont="1" applyFill="1" applyBorder="1" applyAlignment="1" applyProtection="1">
      <alignment horizontal="center" vertical="center"/>
    </xf>
    <xf numFmtId="0" fontId="2" fillId="2" borderId="22" xfId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15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10" fontId="2" fillId="2" borderId="1" xfId="1" applyNumberFormat="1" applyFont="1" applyFill="1" applyBorder="1" applyAlignment="1" applyProtection="1">
      <alignment horizontal="center" vertical="center" wrapText="1"/>
    </xf>
    <xf numFmtId="10" fontId="2" fillId="2" borderId="3" xfId="1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9" fontId="2" fillId="2" borderId="3" xfId="1" applyNumberFormat="1" applyFont="1" applyFill="1" applyBorder="1" applyAlignment="1" applyProtection="1">
      <alignment horizontal="center" vertical="center" wrapText="1"/>
    </xf>
    <xf numFmtId="1" fontId="2" fillId="2" borderId="34" xfId="1" applyNumberFormat="1" applyFont="1" applyFill="1" applyBorder="1" applyAlignment="1" applyProtection="1">
      <alignment horizontal="center" vertical="center" wrapText="1"/>
    </xf>
    <xf numFmtId="1" fontId="2" fillId="2" borderId="28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/>
    </xf>
    <xf numFmtId="165" fontId="2" fillId="2" borderId="3" xfId="4" applyNumberFormat="1" applyFont="1" applyFill="1" applyBorder="1" applyAlignment="1" applyProtection="1">
      <alignment horizontal="center" vertical="center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9" fontId="2" fillId="2" borderId="15" xfId="1" applyNumberFormat="1" applyFont="1" applyFill="1" applyBorder="1" applyAlignment="1" applyProtection="1">
      <alignment horizontal="center" vertical="center" wrapText="1"/>
    </xf>
    <xf numFmtId="2" fontId="2" fillId="2" borderId="22" xfId="1" applyNumberFormat="1" applyFont="1" applyFill="1" applyBorder="1" applyAlignment="1" applyProtection="1">
      <alignment horizontal="center" vertical="center" wrapText="1"/>
    </xf>
    <xf numFmtId="165" fontId="2" fillId="2" borderId="15" xfId="4" applyNumberFormat="1" applyFont="1" applyFill="1" applyBorder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/>
    </xf>
    <xf numFmtId="0" fontId="6" fillId="2" borderId="0" xfId="1" applyFont="1" applyFill="1" applyAlignment="1" applyProtection="1">
      <alignment horizontal="center" wrapText="1"/>
    </xf>
    <xf numFmtId="0" fontId="2" fillId="2" borderId="37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2" fontId="2" fillId="2" borderId="37" xfId="1" applyNumberFormat="1" applyFont="1" applyFill="1" applyBorder="1" applyAlignment="1" applyProtection="1">
      <alignment horizontal="center" vertical="center" wrapText="1"/>
    </xf>
    <xf numFmtId="2" fontId="2" fillId="2" borderId="14" xfId="1" applyNumberFormat="1" applyFont="1" applyFill="1" applyBorder="1" applyAlignment="1" applyProtection="1">
      <alignment horizontal="center" vertical="center" wrapText="1"/>
    </xf>
    <xf numFmtId="0" fontId="2" fillId="2" borderId="14" xfId="1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2" fillId="2" borderId="10" xfId="1" applyNumberFormat="1" applyFont="1" applyFill="1" applyBorder="1" applyAlignment="1" applyProtection="1">
      <alignment horizontal="center" vertical="center" wrapText="1"/>
    </xf>
    <xf numFmtId="1" fontId="2" fillId="2" borderId="56" xfId="1" applyNumberFormat="1" applyFont="1" applyFill="1" applyBorder="1" applyAlignment="1" applyProtection="1">
      <alignment horizontal="center" vertical="center" wrapText="1"/>
    </xf>
  </cellXfs>
  <cellStyles count="13">
    <cellStyle name="Comma" xfId="5" builtinId="3"/>
    <cellStyle name="Comma 10" xfId="12"/>
    <cellStyle name="Comma 2 2 2" xfId="2"/>
    <cellStyle name="Comma 4 2" xfId="3"/>
    <cellStyle name="Comma 7 2 2" xfId="4"/>
    <cellStyle name="Normal" xfId="0" builtinId="0"/>
    <cellStyle name="Normal 14 2" xfId="1"/>
    <cellStyle name="Normal 2" xfId="10"/>
    <cellStyle name="Normal 3" xfId="11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205" t="s">
        <v>16</v>
      </c>
      <c r="B1" s="205"/>
      <c r="C1" s="205"/>
      <c r="D1" s="205"/>
      <c r="E1" s="205"/>
      <c r="F1" s="205"/>
      <c r="G1" s="205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203" t="s">
        <v>0</v>
      </c>
      <c r="B5" s="203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204"/>
      <c r="B6" s="204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tabSelected="1" topLeftCell="A36" zoomScaleNormal="100" workbookViewId="0">
      <selection activeCell="O38" sqref="O38"/>
    </sheetView>
  </sheetViews>
  <sheetFormatPr defaultRowHeight="13.5" outlineLevelRow="1" x14ac:dyDescent="0.25"/>
  <cols>
    <col min="1" max="1" width="6.85546875" style="16" customWidth="1"/>
    <col min="2" max="2" width="23.7109375" style="35" customWidth="1"/>
    <col min="3" max="3" width="23.42578125" style="16" customWidth="1"/>
    <col min="4" max="4" width="16.140625" style="16" customWidth="1"/>
    <col min="5" max="10" width="16.140625" style="16" hidden="1" customWidth="1"/>
    <col min="11" max="11" width="18.85546875" style="123" customWidth="1"/>
    <col min="12" max="12" width="20.140625" style="16" customWidth="1"/>
    <col min="13" max="13" width="16.42578125" style="16" bestFit="1" customWidth="1"/>
    <col min="14" max="14" width="19.7109375" style="16" customWidth="1"/>
    <col min="15" max="15" width="20.28515625" style="16" customWidth="1"/>
    <col min="16" max="16" width="21.7109375" style="125" customWidth="1"/>
    <col min="17" max="17" width="18.5703125" style="16" customWidth="1"/>
    <col min="18" max="18" width="17.7109375" style="16" bestFit="1" customWidth="1"/>
    <col min="19" max="19" width="21.5703125" style="16" customWidth="1"/>
    <col min="20" max="20" width="26.42578125" style="16" customWidth="1"/>
    <col min="21" max="21" width="23.5703125" style="15" customWidth="1"/>
    <col min="22" max="22" width="21.85546875" style="16" customWidth="1"/>
    <col min="23" max="16384" width="9.140625" style="16"/>
  </cols>
  <sheetData>
    <row r="1" spans="1:22" ht="22.5" x14ac:dyDescent="0.4">
      <c r="A1" s="283" t="s">
        <v>19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</row>
    <row r="2" spans="1:22" ht="49.5" customHeight="1" x14ac:dyDescent="0.4">
      <c r="A2" s="284" t="s">
        <v>397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</row>
    <row r="3" spans="1:22" ht="14.25" thickBot="1" x14ac:dyDescent="0.3">
      <c r="A3" s="33"/>
      <c r="C3" s="33"/>
      <c r="D3" s="33"/>
      <c r="E3" s="33"/>
      <c r="F3" s="33"/>
      <c r="G3" s="33"/>
      <c r="H3" s="33"/>
      <c r="I3" s="33"/>
      <c r="J3" s="33"/>
      <c r="K3" s="36"/>
      <c r="L3" s="33"/>
      <c r="M3" s="33"/>
      <c r="N3" s="33"/>
      <c r="O3" s="33"/>
      <c r="P3" s="37"/>
      <c r="Q3" s="33"/>
      <c r="R3" s="33"/>
      <c r="S3" s="33"/>
      <c r="T3" s="33"/>
    </row>
    <row r="4" spans="1:22" s="18" customFormat="1" ht="114" customHeight="1" thickBot="1" x14ac:dyDescent="0.3">
      <c r="A4" s="38" t="s">
        <v>20</v>
      </c>
      <c r="B4" s="39" t="s">
        <v>21</v>
      </c>
      <c r="C4" s="178" t="s">
        <v>22</v>
      </c>
      <c r="D4" s="38" t="s">
        <v>23</v>
      </c>
      <c r="E4" s="40" t="s">
        <v>24</v>
      </c>
      <c r="F4" s="39" t="s">
        <v>398</v>
      </c>
      <c r="G4" s="39" t="s">
        <v>399</v>
      </c>
      <c r="H4" s="39" t="s">
        <v>400</v>
      </c>
      <c r="I4" s="39" t="s">
        <v>401</v>
      </c>
      <c r="J4" s="39" t="s">
        <v>402</v>
      </c>
      <c r="K4" s="39" t="s">
        <v>328</v>
      </c>
      <c r="L4" s="39" t="s">
        <v>320</v>
      </c>
      <c r="M4" s="39" t="s">
        <v>24</v>
      </c>
      <c r="N4" s="39" t="s">
        <v>25</v>
      </c>
      <c r="O4" s="39" t="s">
        <v>26</v>
      </c>
      <c r="P4" s="41" t="s">
        <v>27</v>
      </c>
      <c r="Q4" s="39" t="s">
        <v>28</v>
      </c>
      <c r="R4" s="39" t="s">
        <v>29</v>
      </c>
      <c r="S4" s="39" t="s">
        <v>30</v>
      </c>
      <c r="T4" s="42" t="s">
        <v>31</v>
      </c>
      <c r="U4" s="17"/>
    </row>
    <row r="5" spans="1:22" ht="60" customHeight="1" outlineLevel="1" x14ac:dyDescent="0.25">
      <c r="A5" s="285">
        <v>1</v>
      </c>
      <c r="B5" s="286" t="s">
        <v>32</v>
      </c>
      <c r="C5" s="179" t="s">
        <v>33</v>
      </c>
      <c r="D5" s="287" t="s">
        <v>34</v>
      </c>
      <c r="E5" s="288" t="s">
        <v>36</v>
      </c>
      <c r="F5" s="43">
        <v>7300000</v>
      </c>
      <c r="G5" s="43">
        <v>5822389.5</v>
      </c>
      <c r="H5" s="155">
        <v>7.4999999999999997E-3</v>
      </c>
      <c r="I5" s="141"/>
      <c r="J5" s="154">
        <f t="shared" ref="J5:J15" si="0">G5-I5</f>
        <v>5822389.5</v>
      </c>
      <c r="K5" s="289" t="s">
        <v>329</v>
      </c>
      <c r="L5" s="144" t="s">
        <v>35</v>
      </c>
      <c r="M5" s="152" t="s">
        <v>36</v>
      </c>
      <c r="N5" s="148">
        <v>7300000</v>
      </c>
      <c r="O5" s="51">
        <f>5822389.5+13412.1+4470.7+716451.75+24588.85+716451.75+2235.35</f>
        <v>7299999.9999999991</v>
      </c>
      <c r="P5" s="155" t="s">
        <v>37</v>
      </c>
      <c r="Q5" s="51">
        <f>595000+119000+119000</f>
        <v>833000</v>
      </c>
      <c r="R5" s="51">
        <f>533233.16+25143.75+24697.5</f>
        <v>583074.41</v>
      </c>
      <c r="S5" s="148">
        <f t="shared" ref="S5:S33" si="1">O5-Q5</f>
        <v>6466999.9999999991</v>
      </c>
      <c r="T5" s="182" t="s">
        <v>38</v>
      </c>
      <c r="V5" s="15"/>
    </row>
    <row r="6" spans="1:22" ht="75.75" customHeight="1" outlineLevel="1" x14ac:dyDescent="0.25">
      <c r="A6" s="230"/>
      <c r="B6" s="241"/>
      <c r="C6" s="180" t="s">
        <v>39</v>
      </c>
      <c r="D6" s="243"/>
      <c r="E6" s="235"/>
      <c r="F6" s="45">
        <v>7300000</v>
      </c>
      <c r="G6" s="45">
        <v>7300000</v>
      </c>
      <c r="H6" s="46" t="s">
        <v>41</v>
      </c>
      <c r="I6" s="47"/>
      <c r="J6" s="48">
        <f t="shared" si="0"/>
        <v>7300000</v>
      </c>
      <c r="K6" s="245"/>
      <c r="L6" s="49" t="s">
        <v>40</v>
      </c>
      <c r="M6" s="50" t="s">
        <v>36</v>
      </c>
      <c r="N6" s="51">
        <v>7300000</v>
      </c>
      <c r="O6" s="51">
        <v>7299999.9999999981</v>
      </c>
      <c r="P6" s="46" t="s">
        <v>41</v>
      </c>
      <c r="Q6" s="51">
        <f>5474999.9+304166.7+304166.7</f>
        <v>6083333.3000000007</v>
      </c>
      <c r="R6" s="51">
        <f>1148728.76+25208.75+21007.3</f>
        <v>1194944.81</v>
      </c>
      <c r="S6" s="51">
        <f t="shared" si="1"/>
        <v>1216666.6999999974</v>
      </c>
      <c r="T6" s="183" t="s">
        <v>42</v>
      </c>
      <c r="V6" s="15"/>
    </row>
    <row r="7" spans="1:22" ht="64.5" customHeight="1" outlineLevel="1" x14ac:dyDescent="0.25">
      <c r="A7" s="29">
        <v>2</v>
      </c>
      <c r="B7" s="53" t="s">
        <v>32</v>
      </c>
      <c r="C7" s="52" t="s">
        <v>43</v>
      </c>
      <c r="D7" s="184" t="s">
        <v>34</v>
      </c>
      <c r="E7" s="50" t="s">
        <v>36</v>
      </c>
      <c r="F7" s="45">
        <v>14060527</v>
      </c>
      <c r="G7" s="45">
        <v>14060527</v>
      </c>
      <c r="H7" s="54">
        <v>7.4999999999999997E-3</v>
      </c>
      <c r="I7" s="45">
        <v>3044232</v>
      </c>
      <c r="J7" s="48">
        <f t="shared" si="0"/>
        <v>11016295</v>
      </c>
      <c r="K7" s="55" t="s">
        <v>330</v>
      </c>
      <c r="L7" s="49" t="s">
        <v>44</v>
      </c>
      <c r="M7" s="50" t="s">
        <v>36</v>
      </c>
      <c r="N7" s="51">
        <v>14060526.73</v>
      </c>
      <c r="O7" s="51">
        <v>14060526.73</v>
      </c>
      <c r="P7" s="54">
        <v>7.4999999999999997E-3</v>
      </c>
      <c r="Q7" s="51">
        <f>5858552.73979552+234342.1+234342.1</f>
        <v>6327236.9397955192</v>
      </c>
      <c r="R7" s="51">
        <f>1294472.69934396+40254.3+39195.3</f>
        <v>1373922.2993439601</v>
      </c>
      <c r="S7" s="51">
        <f t="shared" si="1"/>
        <v>7733289.7902044812</v>
      </c>
      <c r="T7" s="183" t="s">
        <v>38</v>
      </c>
      <c r="V7" s="15"/>
    </row>
    <row r="8" spans="1:22" ht="67.5" outlineLevel="1" x14ac:dyDescent="0.25">
      <c r="A8" s="29">
        <v>3</v>
      </c>
      <c r="B8" s="53" t="s">
        <v>32</v>
      </c>
      <c r="C8" s="52" t="s">
        <v>45</v>
      </c>
      <c r="D8" s="184" t="s">
        <v>34</v>
      </c>
      <c r="E8" s="50" t="s">
        <v>36</v>
      </c>
      <c r="F8" s="45">
        <v>75000000</v>
      </c>
      <c r="G8" s="45">
        <v>0</v>
      </c>
      <c r="H8" s="54">
        <v>1.8499999999999999E-2</v>
      </c>
      <c r="I8" s="47"/>
      <c r="J8" s="48">
        <f t="shared" si="0"/>
        <v>0</v>
      </c>
      <c r="K8" s="55" t="s">
        <v>331</v>
      </c>
      <c r="L8" s="49" t="s">
        <v>46</v>
      </c>
      <c r="M8" s="50" t="s">
        <v>36</v>
      </c>
      <c r="N8" s="51">
        <v>75000000</v>
      </c>
      <c r="O8" s="51"/>
      <c r="P8" s="54" t="s">
        <v>47</v>
      </c>
      <c r="Q8" s="51"/>
      <c r="R8" s="51">
        <f>1932812.5+93750+93750</f>
        <v>2120312.5</v>
      </c>
      <c r="S8" s="51">
        <f t="shared" si="1"/>
        <v>0</v>
      </c>
      <c r="T8" s="183" t="s">
        <v>42</v>
      </c>
      <c r="V8" s="15"/>
    </row>
    <row r="9" spans="1:22" ht="57.75" customHeight="1" outlineLevel="1" x14ac:dyDescent="0.25">
      <c r="A9" s="229">
        <v>4</v>
      </c>
      <c r="B9" s="221" t="s">
        <v>32</v>
      </c>
      <c r="C9" s="224" t="s">
        <v>45</v>
      </c>
      <c r="D9" s="184" t="s">
        <v>34</v>
      </c>
      <c r="E9" s="50" t="s">
        <v>36</v>
      </c>
      <c r="F9" s="45">
        <v>10200000</v>
      </c>
      <c r="G9" s="45">
        <v>0</v>
      </c>
      <c r="H9" s="54">
        <v>7.4999999999999997E-3</v>
      </c>
      <c r="I9" s="46"/>
      <c r="J9" s="48">
        <f t="shared" si="0"/>
        <v>0</v>
      </c>
      <c r="K9" s="244" t="s">
        <v>331</v>
      </c>
      <c r="L9" s="234" t="s">
        <v>48</v>
      </c>
      <c r="M9" s="50" t="s">
        <v>36</v>
      </c>
      <c r="N9" s="51">
        <v>10200000</v>
      </c>
      <c r="O9" s="51">
        <f>1075381.69+59500</f>
        <v>1134881.69</v>
      </c>
      <c r="P9" s="276" t="s">
        <v>37</v>
      </c>
      <c r="Q9" s="51">
        <v>0</v>
      </c>
      <c r="R9" s="51">
        <f>200690.672577969+15587.2</f>
        <v>216277.87257796901</v>
      </c>
      <c r="S9" s="51">
        <f>O9-Q9</f>
        <v>1134881.69</v>
      </c>
      <c r="T9" s="227" t="s">
        <v>42</v>
      </c>
      <c r="V9" s="15"/>
    </row>
    <row r="10" spans="1:22" ht="57.75" customHeight="1" outlineLevel="1" x14ac:dyDescent="0.25">
      <c r="A10" s="230"/>
      <c r="B10" s="241"/>
      <c r="C10" s="233"/>
      <c r="D10" s="184"/>
      <c r="E10" s="50"/>
      <c r="F10" s="45"/>
      <c r="G10" s="45"/>
      <c r="H10" s="54"/>
      <c r="I10" s="46"/>
      <c r="J10" s="48"/>
      <c r="K10" s="245"/>
      <c r="L10" s="235"/>
      <c r="M10" s="50" t="s">
        <v>3</v>
      </c>
      <c r="N10" s="51"/>
      <c r="O10" s="51">
        <v>244081445</v>
      </c>
      <c r="P10" s="278"/>
      <c r="Q10" s="51"/>
      <c r="R10" s="51">
        <v>9774294.3000000007</v>
      </c>
      <c r="S10" s="51">
        <f>O10-Q10</f>
        <v>244081445</v>
      </c>
      <c r="T10" s="228"/>
      <c r="V10" s="15"/>
    </row>
    <row r="11" spans="1:22" ht="76.5" customHeight="1" outlineLevel="1" x14ac:dyDescent="0.25">
      <c r="A11" s="229">
        <v>5</v>
      </c>
      <c r="B11" s="221" t="s">
        <v>32</v>
      </c>
      <c r="C11" s="224" t="s">
        <v>49</v>
      </c>
      <c r="D11" s="184"/>
      <c r="E11" s="50"/>
      <c r="F11" s="45"/>
      <c r="G11" s="45"/>
      <c r="H11" s="54"/>
      <c r="I11" s="46"/>
      <c r="J11" s="48"/>
      <c r="K11" s="244" t="s">
        <v>332</v>
      </c>
      <c r="L11" s="234" t="s">
        <v>50</v>
      </c>
      <c r="M11" s="50" t="s">
        <v>36</v>
      </c>
      <c r="N11" s="51">
        <v>10000000</v>
      </c>
      <c r="O11" s="51"/>
      <c r="P11" s="276" t="s">
        <v>51</v>
      </c>
      <c r="Q11" s="51"/>
      <c r="R11" s="51">
        <v>50000</v>
      </c>
      <c r="S11" s="51">
        <f>O11-Q11</f>
        <v>0</v>
      </c>
      <c r="T11" s="227" t="s">
        <v>52</v>
      </c>
      <c r="V11" s="15"/>
    </row>
    <row r="12" spans="1:22" ht="76.5" customHeight="1" outlineLevel="1" x14ac:dyDescent="0.25">
      <c r="A12" s="230"/>
      <c r="B12" s="241"/>
      <c r="C12" s="233"/>
      <c r="D12" s="184"/>
      <c r="E12" s="50"/>
      <c r="F12" s="45"/>
      <c r="G12" s="45"/>
      <c r="H12" s="54"/>
      <c r="I12" s="46"/>
      <c r="J12" s="48"/>
      <c r="K12" s="245"/>
      <c r="L12" s="235"/>
      <c r="M12" s="49" t="s">
        <v>3</v>
      </c>
      <c r="N12" s="51"/>
      <c r="O12" s="51"/>
      <c r="P12" s="278"/>
      <c r="Q12" s="51"/>
      <c r="R12" s="51"/>
      <c r="S12" s="51">
        <f t="shared" si="1"/>
        <v>0</v>
      </c>
      <c r="T12" s="228"/>
      <c r="V12" s="15"/>
    </row>
    <row r="13" spans="1:22" ht="76.5" customHeight="1" outlineLevel="1" x14ac:dyDescent="0.25">
      <c r="A13" s="229">
        <v>6</v>
      </c>
      <c r="B13" s="221" t="s">
        <v>32</v>
      </c>
      <c r="C13" s="224" t="s">
        <v>53</v>
      </c>
      <c r="D13" s="184"/>
      <c r="E13" s="50"/>
      <c r="F13" s="45"/>
      <c r="G13" s="45"/>
      <c r="H13" s="54"/>
      <c r="I13" s="46"/>
      <c r="J13" s="48"/>
      <c r="K13" s="244" t="s">
        <v>333</v>
      </c>
      <c r="L13" s="234" t="s">
        <v>54</v>
      </c>
      <c r="M13" s="50" t="s">
        <v>36</v>
      </c>
      <c r="N13" s="51">
        <v>83000000</v>
      </c>
      <c r="O13" s="51"/>
      <c r="P13" s="276">
        <v>1.7999999999999999E-2</v>
      </c>
      <c r="Q13" s="51"/>
      <c r="R13" s="51">
        <f>1930326.40003794+103750+103750</f>
        <v>2137826.4000379397</v>
      </c>
      <c r="S13" s="51">
        <f t="shared" si="1"/>
        <v>0</v>
      </c>
      <c r="T13" s="227" t="s">
        <v>42</v>
      </c>
      <c r="V13" s="15"/>
    </row>
    <row r="14" spans="1:22" ht="76.5" customHeight="1" outlineLevel="1" x14ac:dyDescent="0.25">
      <c r="A14" s="230"/>
      <c r="B14" s="241"/>
      <c r="C14" s="233"/>
      <c r="D14" s="184"/>
      <c r="E14" s="50"/>
      <c r="F14" s="45"/>
      <c r="G14" s="45"/>
      <c r="H14" s="54"/>
      <c r="I14" s="46"/>
      <c r="J14" s="48"/>
      <c r="K14" s="245"/>
      <c r="L14" s="235"/>
      <c r="M14" s="49" t="s">
        <v>3</v>
      </c>
      <c r="N14" s="51"/>
      <c r="O14" s="51"/>
      <c r="P14" s="278"/>
      <c r="Q14" s="51"/>
      <c r="R14" s="51"/>
      <c r="S14" s="51">
        <f t="shared" si="1"/>
        <v>0</v>
      </c>
      <c r="T14" s="228"/>
      <c r="U14" s="19"/>
      <c r="V14" s="15"/>
    </row>
    <row r="15" spans="1:22" ht="96.75" customHeight="1" outlineLevel="1" x14ac:dyDescent="0.25">
      <c r="A15" s="229">
        <v>7</v>
      </c>
      <c r="B15" s="221" t="s">
        <v>32</v>
      </c>
      <c r="C15" s="224" t="s">
        <v>55</v>
      </c>
      <c r="D15" s="242" t="s">
        <v>56</v>
      </c>
      <c r="E15" s="268" t="s">
        <v>58</v>
      </c>
      <c r="F15" s="272">
        <v>39000000</v>
      </c>
      <c r="G15" s="272">
        <f>18026903.76+130476.4+43674.47+204502+159552.28+20280.3+101559+88268.89+153855.7+63854.08</f>
        <v>18992926.879999999</v>
      </c>
      <c r="H15" s="268" t="s">
        <v>59</v>
      </c>
      <c r="I15" s="264"/>
      <c r="J15" s="264">
        <f t="shared" si="0"/>
        <v>18992926.879999999</v>
      </c>
      <c r="K15" s="244" t="s">
        <v>334</v>
      </c>
      <c r="L15" s="234" t="s">
        <v>57</v>
      </c>
      <c r="M15" s="50" t="s">
        <v>58</v>
      </c>
      <c r="N15" s="51">
        <f>35500000-1434414.8</f>
        <v>34065585.200000003</v>
      </c>
      <c r="O15" s="51">
        <v>34065585.200000003</v>
      </c>
      <c r="P15" s="268" t="s">
        <v>59</v>
      </c>
      <c r="Q15" s="51">
        <v>2271038.99992368</v>
      </c>
      <c r="R15" s="51">
        <v>6222393.049192206</v>
      </c>
      <c r="S15" s="51">
        <f t="shared" si="1"/>
        <v>31794546.200076323</v>
      </c>
      <c r="T15" s="227" t="s">
        <v>60</v>
      </c>
      <c r="U15" s="19"/>
      <c r="V15" s="15"/>
    </row>
    <row r="16" spans="1:22" ht="68.25" customHeight="1" outlineLevel="1" x14ac:dyDescent="0.25">
      <c r="A16" s="230"/>
      <c r="B16" s="241"/>
      <c r="C16" s="233"/>
      <c r="D16" s="243"/>
      <c r="E16" s="269"/>
      <c r="F16" s="273"/>
      <c r="G16" s="273"/>
      <c r="H16" s="269"/>
      <c r="I16" s="265"/>
      <c r="J16" s="265"/>
      <c r="K16" s="245"/>
      <c r="L16" s="235"/>
      <c r="M16" s="49" t="s">
        <v>3</v>
      </c>
      <c r="N16" s="51"/>
      <c r="O16" s="51">
        <v>3680136115.8000002</v>
      </c>
      <c r="P16" s="269"/>
      <c r="Q16" s="51">
        <v>265035523.80000001</v>
      </c>
      <c r="R16" s="51">
        <v>667982925.54010713</v>
      </c>
      <c r="S16" s="51">
        <f t="shared" si="1"/>
        <v>3415100592</v>
      </c>
      <c r="T16" s="228"/>
      <c r="U16" s="19"/>
      <c r="V16" s="15"/>
    </row>
    <row r="17" spans="1:21" s="15" customFormat="1" ht="81" customHeight="1" outlineLevel="1" x14ac:dyDescent="0.25">
      <c r="A17" s="229">
        <v>8</v>
      </c>
      <c r="B17" s="221" t="s">
        <v>32</v>
      </c>
      <c r="C17" s="224" t="s">
        <v>61</v>
      </c>
      <c r="D17" s="242" t="s">
        <v>56</v>
      </c>
      <c r="E17" s="46" t="s">
        <v>58</v>
      </c>
      <c r="F17" s="45">
        <v>40000000</v>
      </c>
      <c r="G17" s="48">
        <v>100000</v>
      </c>
      <c r="H17" s="46" t="s">
        <v>59</v>
      </c>
      <c r="I17" s="48">
        <v>0</v>
      </c>
      <c r="J17" s="48">
        <f>G17-I17</f>
        <v>100000</v>
      </c>
      <c r="K17" s="244" t="s">
        <v>335</v>
      </c>
      <c r="L17" s="244" t="s">
        <v>62</v>
      </c>
      <c r="M17" s="50" t="s">
        <v>58</v>
      </c>
      <c r="N17" s="45">
        <f>40000000-2500000-1500000</f>
        <v>36000000</v>
      </c>
      <c r="O17" s="51">
        <v>23371604.149999999</v>
      </c>
      <c r="P17" s="54" t="s">
        <v>59</v>
      </c>
      <c r="Q17" s="51">
        <v>0</v>
      </c>
      <c r="R17" s="51">
        <v>2610870.4511588858</v>
      </c>
      <c r="S17" s="51">
        <f t="shared" si="1"/>
        <v>23371604.149999999</v>
      </c>
      <c r="T17" s="227" t="s">
        <v>60</v>
      </c>
      <c r="U17" s="19"/>
    </row>
    <row r="18" spans="1:21" s="15" customFormat="1" ht="39.75" customHeight="1" outlineLevel="1" x14ac:dyDescent="0.25">
      <c r="A18" s="230"/>
      <c r="B18" s="241"/>
      <c r="C18" s="233"/>
      <c r="D18" s="243"/>
      <c r="E18" s="46"/>
      <c r="F18" s="45"/>
      <c r="G18" s="48"/>
      <c r="H18" s="46"/>
      <c r="I18" s="48"/>
      <c r="J18" s="48"/>
      <c r="K18" s="245"/>
      <c r="L18" s="245"/>
      <c r="M18" s="49" t="s">
        <v>3</v>
      </c>
      <c r="N18" s="45"/>
      <c r="O18" s="51">
        <v>969260610.20000005</v>
      </c>
      <c r="P18" s="54"/>
      <c r="Q18" s="51">
        <v>563212.19999999995</v>
      </c>
      <c r="R18" s="51">
        <v>103135336.99999999</v>
      </c>
      <c r="S18" s="51">
        <f t="shared" si="1"/>
        <v>968697398</v>
      </c>
      <c r="T18" s="228"/>
      <c r="U18" s="19"/>
    </row>
    <row r="19" spans="1:21" s="15" customFormat="1" ht="70.5" customHeight="1" outlineLevel="1" x14ac:dyDescent="0.25">
      <c r="A19" s="229">
        <v>9</v>
      </c>
      <c r="B19" s="231" t="s">
        <v>32</v>
      </c>
      <c r="C19" s="224" t="s">
        <v>63</v>
      </c>
      <c r="D19" s="242" t="s">
        <v>56</v>
      </c>
      <c r="E19" s="268" t="s">
        <v>58</v>
      </c>
      <c r="F19" s="272">
        <v>52000000</v>
      </c>
      <c r="G19" s="264">
        <v>130000</v>
      </c>
      <c r="H19" s="268" t="s">
        <v>59</v>
      </c>
      <c r="I19" s="264"/>
      <c r="J19" s="264">
        <f>G19-I19</f>
        <v>130000</v>
      </c>
      <c r="K19" s="244" t="s">
        <v>336</v>
      </c>
      <c r="L19" s="244" t="s">
        <v>64</v>
      </c>
      <c r="M19" s="50" t="s">
        <v>58</v>
      </c>
      <c r="N19" s="45">
        <v>23194486</v>
      </c>
      <c r="O19" s="51">
        <v>11179778.780000001</v>
      </c>
      <c r="P19" s="276" t="s">
        <v>59</v>
      </c>
      <c r="Q19" s="51">
        <v>0</v>
      </c>
      <c r="R19" s="51">
        <v>1101400.8299593008</v>
      </c>
      <c r="S19" s="51">
        <f t="shared" si="1"/>
        <v>11179778.780000001</v>
      </c>
      <c r="T19" s="227" t="s">
        <v>60</v>
      </c>
      <c r="U19" s="19"/>
    </row>
    <row r="20" spans="1:21" s="15" customFormat="1" ht="39.75" customHeight="1" outlineLevel="1" x14ac:dyDescent="0.25">
      <c r="A20" s="230"/>
      <c r="B20" s="232"/>
      <c r="C20" s="225"/>
      <c r="D20" s="281"/>
      <c r="E20" s="280"/>
      <c r="F20" s="282"/>
      <c r="G20" s="279"/>
      <c r="H20" s="280"/>
      <c r="I20" s="279"/>
      <c r="J20" s="279"/>
      <c r="K20" s="245"/>
      <c r="L20" s="245"/>
      <c r="M20" s="49" t="s">
        <v>3</v>
      </c>
      <c r="N20" s="45"/>
      <c r="O20" s="51">
        <v>1377132353.3</v>
      </c>
      <c r="P20" s="277"/>
      <c r="Q20" s="51">
        <v>91463799.799999997</v>
      </c>
      <c r="R20" s="51">
        <v>95965120.899999991</v>
      </c>
      <c r="S20" s="51">
        <f t="shared" si="1"/>
        <v>1285668553.5</v>
      </c>
      <c r="T20" s="228"/>
      <c r="U20" s="19"/>
    </row>
    <row r="21" spans="1:21" s="15" customFormat="1" ht="60" customHeight="1" outlineLevel="1" x14ac:dyDescent="0.25">
      <c r="A21" s="229">
        <v>10</v>
      </c>
      <c r="B21" s="231" t="s">
        <v>65</v>
      </c>
      <c r="C21" s="225"/>
      <c r="D21" s="281"/>
      <c r="E21" s="269"/>
      <c r="F21" s="273"/>
      <c r="G21" s="265"/>
      <c r="H21" s="269"/>
      <c r="I21" s="265"/>
      <c r="J21" s="265"/>
      <c r="K21" s="244" t="s">
        <v>337</v>
      </c>
      <c r="L21" s="244" t="s">
        <v>64</v>
      </c>
      <c r="M21" s="50" t="s">
        <v>58</v>
      </c>
      <c r="N21" s="51">
        <f>3204473.43+400000+400000+141890.58+1400000+709916.47+1000000+256884.53+1200000+1350000+1665000+1150000+988000+1366500+1657855.12-227903.28</f>
        <v>16662616.85</v>
      </c>
      <c r="O21" s="51">
        <f>3204473.43+400000+400000+141890.58+1400000+709916.47+1000000+256884.53+1200000+1350000+1665000+1150000+988000+1366500+1657855.12-227903.28</f>
        <v>16662616.85</v>
      </c>
      <c r="P21" s="277"/>
      <c r="Q21" s="51"/>
      <c r="R21" s="51">
        <v>1884901.4992073209</v>
      </c>
      <c r="S21" s="51">
        <f t="shared" si="1"/>
        <v>16662616.85</v>
      </c>
      <c r="T21" s="227" t="s">
        <v>60</v>
      </c>
      <c r="U21" s="19"/>
    </row>
    <row r="22" spans="1:21" s="15" customFormat="1" ht="40.5" customHeight="1" outlineLevel="1" x14ac:dyDescent="0.25">
      <c r="A22" s="230"/>
      <c r="B22" s="232"/>
      <c r="C22" s="233"/>
      <c r="D22" s="243"/>
      <c r="E22" s="156"/>
      <c r="F22" s="158"/>
      <c r="G22" s="153"/>
      <c r="H22" s="156"/>
      <c r="I22" s="153"/>
      <c r="J22" s="153"/>
      <c r="K22" s="245"/>
      <c r="L22" s="245"/>
      <c r="M22" s="50" t="s">
        <v>3</v>
      </c>
      <c r="N22" s="20"/>
      <c r="O22" s="51">
        <f>384710448.3+1500000+15000000+35000000+25000000+78000000+227000000-988382.4+40000000+23500000+76000000+75000000+37000000+60000000+48495600+73000000+36250000+82215300+50500000+35000000+2192900+3500000+251300000+415000000+9000000-41385546.5+1500000+6900000-151740654.7+3300000+8000000+14000000+1150000+320000+1150000+77500000+3117.6+860771.9</f>
        <v>2004733554.2</v>
      </c>
      <c r="P22" s="278"/>
      <c r="Q22" s="51"/>
      <c r="R22" s="51">
        <v>201333110.20819587</v>
      </c>
      <c r="S22" s="51">
        <f t="shared" si="1"/>
        <v>2004733554.2</v>
      </c>
      <c r="T22" s="228"/>
      <c r="U22" s="19"/>
    </row>
    <row r="23" spans="1:21" s="15" customFormat="1" ht="57.75" customHeight="1" outlineLevel="1" x14ac:dyDescent="0.25">
      <c r="A23" s="229">
        <v>11</v>
      </c>
      <c r="B23" s="231" t="s">
        <v>32</v>
      </c>
      <c r="C23" s="224" t="s">
        <v>66</v>
      </c>
      <c r="D23" s="242" t="s">
        <v>67</v>
      </c>
      <c r="E23" s="268" t="s">
        <v>403</v>
      </c>
      <c r="F23" s="272">
        <v>24022000</v>
      </c>
      <c r="G23" s="264">
        <f>O23+O25</f>
        <v>18496922.612149809</v>
      </c>
      <c r="H23" s="268">
        <v>0.02</v>
      </c>
      <c r="I23" s="264">
        <v>0</v>
      </c>
      <c r="J23" s="264">
        <f>G23-I23</f>
        <v>18496922.612149809</v>
      </c>
      <c r="K23" s="244" t="s">
        <v>335</v>
      </c>
      <c r="L23" s="234" t="s">
        <v>68</v>
      </c>
      <c r="M23" s="50" t="s">
        <v>69</v>
      </c>
      <c r="N23" s="56">
        <v>13988153</v>
      </c>
      <c r="O23" s="51">
        <v>8375536.2411363386</v>
      </c>
      <c r="P23" s="276">
        <v>3.1399999999999997E-2</v>
      </c>
      <c r="Q23" s="51">
        <f>809790.60012893+138197200.6/667.53+125818892.9/607.74</f>
        <v>1223845.8002396652</v>
      </c>
      <c r="R23" s="51">
        <v>1108884.5300879336</v>
      </c>
      <c r="S23" s="51">
        <f t="shared" si="1"/>
        <v>7151690.4408966731</v>
      </c>
      <c r="T23" s="227" t="s">
        <v>60</v>
      </c>
      <c r="U23" s="19"/>
    </row>
    <row r="24" spans="1:21" s="15" customFormat="1" ht="32.25" customHeight="1" outlineLevel="1" x14ac:dyDescent="0.25">
      <c r="A24" s="230"/>
      <c r="B24" s="232"/>
      <c r="C24" s="225"/>
      <c r="D24" s="281"/>
      <c r="E24" s="280"/>
      <c r="F24" s="282"/>
      <c r="G24" s="279"/>
      <c r="H24" s="280"/>
      <c r="I24" s="279"/>
      <c r="J24" s="279"/>
      <c r="K24" s="245"/>
      <c r="L24" s="235"/>
      <c r="M24" s="49" t="s">
        <v>3</v>
      </c>
      <c r="N24" s="57"/>
      <c r="O24" s="51">
        <v>1194787815</v>
      </c>
      <c r="P24" s="278"/>
      <c r="Q24" s="51">
        <f>119517429.9+29868621.7+29868621.9</f>
        <v>179254673.5</v>
      </c>
      <c r="R24" s="51">
        <v>161513749.20000002</v>
      </c>
      <c r="S24" s="51">
        <f t="shared" si="1"/>
        <v>1015533141.5</v>
      </c>
      <c r="T24" s="228"/>
      <c r="U24" s="19"/>
    </row>
    <row r="25" spans="1:21" s="15" customFormat="1" ht="51.75" customHeight="1" outlineLevel="1" x14ac:dyDescent="0.25">
      <c r="A25" s="229">
        <v>12</v>
      </c>
      <c r="B25" s="231" t="s">
        <v>70</v>
      </c>
      <c r="C25" s="225"/>
      <c r="D25" s="281"/>
      <c r="E25" s="280"/>
      <c r="F25" s="282"/>
      <c r="G25" s="279"/>
      <c r="H25" s="280"/>
      <c r="I25" s="279"/>
      <c r="J25" s="279"/>
      <c r="K25" s="244" t="s">
        <v>338</v>
      </c>
      <c r="L25" s="234" t="s">
        <v>68</v>
      </c>
      <c r="M25" s="50" t="s">
        <v>69</v>
      </c>
      <c r="N25" s="56">
        <v>10098535</v>
      </c>
      <c r="O25" s="51">
        <v>10121386.37101347</v>
      </c>
      <c r="P25" s="276">
        <v>3.1399999999999997E-2</v>
      </c>
      <c r="Q25" s="51">
        <v>1260441.3017757337</v>
      </c>
      <c r="R25" s="51">
        <v>832426.01620833902</v>
      </c>
      <c r="S25" s="51">
        <f t="shared" si="1"/>
        <v>8860945.069237737</v>
      </c>
      <c r="T25" s="227" t="s">
        <v>60</v>
      </c>
      <c r="U25" s="19"/>
    </row>
    <row r="26" spans="1:21" s="15" customFormat="1" ht="32.25" customHeight="1" outlineLevel="1" x14ac:dyDescent="0.25">
      <c r="A26" s="230"/>
      <c r="B26" s="232"/>
      <c r="C26" s="233"/>
      <c r="D26" s="243"/>
      <c r="E26" s="269"/>
      <c r="F26" s="273"/>
      <c r="G26" s="265"/>
      <c r="H26" s="269"/>
      <c r="I26" s="265"/>
      <c r="J26" s="265"/>
      <c r="K26" s="245"/>
      <c r="L26" s="235"/>
      <c r="M26" s="49" t="s">
        <v>3</v>
      </c>
      <c r="N26" s="57"/>
      <c r="O26" s="51">
        <v>794162455.89999998</v>
      </c>
      <c r="P26" s="278"/>
      <c r="Q26" s="51">
        <v>103281211.69999999</v>
      </c>
      <c r="R26" s="51">
        <v>67710008.799999997</v>
      </c>
      <c r="S26" s="51">
        <f t="shared" si="1"/>
        <v>690881244.20000005</v>
      </c>
      <c r="T26" s="228"/>
      <c r="U26" s="19"/>
    </row>
    <row r="27" spans="1:21" s="15" customFormat="1" ht="48" customHeight="1" outlineLevel="1" x14ac:dyDescent="0.25">
      <c r="A27" s="29">
        <v>13</v>
      </c>
      <c r="B27" s="47" t="s">
        <v>32</v>
      </c>
      <c r="C27" s="224" t="s">
        <v>71</v>
      </c>
      <c r="D27" s="242" t="s">
        <v>72</v>
      </c>
      <c r="E27" s="46" t="s">
        <v>404</v>
      </c>
      <c r="F27" s="264">
        <v>15000000</v>
      </c>
      <c r="G27" s="264">
        <v>15000000</v>
      </c>
      <c r="H27" s="266">
        <v>1.4500000000000001E-2</v>
      </c>
      <c r="I27" s="264">
        <v>2437500</v>
      </c>
      <c r="J27" s="264">
        <f>G27-I27</f>
        <v>12562500</v>
      </c>
      <c r="K27" s="55" t="s">
        <v>339</v>
      </c>
      <c r="L27" s="49" t="s">
        <v>73</v>
      </c>
      <c r="M27" s="50" t="s">
        <v>58</v>
      </c>
      <c r="N27" s="51">
        <v>19600000</v>
      </c>
      <c r="O27" s="51">
        <v>19419334.870000001</v>
      </c>
      <c r="P27" s="58">
        <v>5.0000000000000001E-3</v>
      </c>
      <c r="Q27" s="51">
        <f>9716960.66852489+189584407.5/488.5+172026989.7/443.26</f>
        <v>10493150.668524889</v>
      </c>
      <c r="R27" s="51">
        <f>1129921.93024286+16077756.3/488.5+14096288.6/443.26</f>
        <v>1194635.8304264306</v>
      </c>
      <c r="S27" s="51">
        <f t="shared" si="1"/>
        <v>8926184.2014751118</v>
      </c>
      <c r="T27" s="183" t="s">
        <v>60</v>
      </c>
      <c r="U27" s="19"/>
    </row>
    <row r="28" spans="1:21" s="15" customFormat="1" ht="60" customHeight="1" outlineLevel="1" x14ac:dyDescent="0.25">
      <c r="A28" s="29">
        <v>14</v>
      </c>
      <c r="B28" s="47" t="s">
        <v>70</v>
      </c>
      <c r="C28" s="233"/>
      <c r="D28" s="243"/>
      <c r="E28" s="46" t="s">
        <v>404</v>
      </c>
      <c r="F28" s="265"/>
      <c r="G28" s="265"/>
      <c r="H28" s="267"/>
      <c r="I28" s="265"/>
      <c r="J28" s="265"/>
      <c r="K28" s="55" t="s">
        <v>340</v>
      </c>
      <c r="L28" s="49" t="s">
        <v>74</v>
      </c>
      <c r="M28" s="50" t="s">
        <v>58</v>
      </c>
      <c r="N28" s="51">
        <v>297276.53999999998</v>
      </c>
      <c r="O28" s="51">
        <v>297276.53999999998</v>
      </c>
      <c r="P28" s="54" t="s">
        <v>75</v>
      </c>
      <c r="Q28" s="51">
        <f>257638.543537781+4361667/440.15</f>
        <v>267548.0448441538</v>
      </c>
      <c r="R28" s="51">
        <f>229541.53251276+1912186/489.99+1556591/440.15</f>
        <v>236980.53375655663</v>
      </c>
      <c r="S28" s="51">
        <f t="shared" si="1"/>
        <v>29728.495155846176</v>
      </c>
      <c r="T28" s="183" t="s">
        <v>60</v>
      </c>
      <c r="U28" s="19"/>
    </row>
    <row r="29" spans="1:21" s="15" customFormat="1" ht="51" customHeight="1" outlineLevel="1" x14ac:dyDescent="0.25">
      <c r="A29" s="29">
        <v>15</v>
      </c>
      <c r="B29" s="47" t="s">
        <v>70</v>
      </c>
      <c r="C29" s="270" t="s">
        <v>76</v>
      </c>
      <c r="D29" s="242" t="s">
        <v>77</v>
      </c>
      <c r="E29" s="268" t="s">
        <v>79</v>
      </c>
      <c r="F29" s="272">
        <f>5075000000+324000000</f>
        <v>5399000000</v>
      </c>
      <c r="G29" s="264">
        <f>5062807492+305504477</f>
        <v>5368311969</v>
      </c>
      <c r="H29" s="274" t="s">
        <v>405</v>
      </c>
      <c r="I29" s="264">
        <f>1729684492+71162477</f>
        <v>1800846969</v>
      </c>
      <c r="J29" s="264">
        <f>G29-I29</f>
        <v>3567465000</v>
      </c>
      <c r="K29" s="55" t="s">
        <v>341</v>
      </c>
      <c r="L29" s="49" t="s">
        <v>78</v>
      </c>
      <c r="M29" s="49" t="s">
        <v>79</v>
      </c>
      <c r="N29" s="51">
        <v>1571940173.3299999</v>
      </c>
      <c r="O29" s="51">
        <v>1598519063</v>
      </c>
      <c r="P29" s="58">
        <v>1.7999999999999999E-2</v>
      </c>
      <c r="Q29" s="51">
        <v>1030178646.5</v>
      </c>
      <c r="R29" s="51">
        <v>226837831.92593718</v>
      </c>
      <c r="S29" s="51">
        <f t="shared" si="1"/>
        <v>568340416.5</v>
      </c>
      <c r="T29" s="183" t="s">
        <v>60</v>
      </c>
      <c r="U29" s="19"/>
    </row>
    <row r="30" spans="1:21" s="15" customFormat="1" ht="41.25" customHeight="1" outlineLevel="1" x14ac:dyDescent="0.25">
      <c r="A30" s="29">
        <v>16</v>
      </c>
      <c r="B30" s="53" t="s">
        <v>80</v>
      </c>
      <c r="C30" s="271"/>
      <c r="D30" s="243"/>
      <c r="E30" s="269"/>
      <c r="F30" s="273"/>
      <c r="G30" s="265"/>
      <c r="H30" s="275"/>
      <c r="I30" s="265"/>
      <c r="J30" s="265"/>
      <c r="K30" s="55" t="s">
        <v>342</v>
      </c>
      <c r="L30" s="49" t="s">
        <v>78</v>
      </c>
      <c r="M30" s="49" t="s">
        <v>79</v>
      </c>
      <c r="N30" s="51">
        <v>3796371795.6700001</v>
      </c>
      <c r="O30" s="51">
        <v>3861444249</v>
      </c>
      <c r="P30" s="58">
        <v>1.7999999999999999E-2</v>
      </c>
      <c r="Q30" s="51">
        <v>2513837447.5599999</v>
      </c>
      <c r="R30" s="51">
        <v>553224853.25679886</v>
      </c>
      <c r="S30" s="51">
        <f t="shared" si="1"/>
        <v>1347606801.4400001</v>
      </c>
      <c r="T30" s="183" t="s">
        <v>60</v>
      </c>
      <c r="U30" s="19"/>
    </row>
    <row r="31" spans="1:21" s="15" customFormat="1" ht="33.75" customHeight="1" outlineLevel="1" x14ac:dyDescent="0.25">
      <c r="A31" s="229">
        <v>17</v>
      </c>
      <c r="B31" s="231" t="s">
        <v>81</v>
      </c>
      <c r="C31" s="224" t="s">
        <v>82</v>
      </c>
      <c r="D31" s="242" t="s">
        <v>72</v>
      </c>
      <c r="E31" s="268" t="s">
        <v>404</v>
      </c>
      <c r="F31" s="264">
        <v>10000000</v>
      </c>
      <c r="G31" s="264">
        <v>9972457.2400000002</v>
      </c>
      <c r="H31" s="266">
        <v>1.4500000000000001E-2</v>
      </c>
      <c r="I31" s="264">
        <v>0</v>
      </c>
      <c r="J31" s="264">
        <f>G31-I31</f>
        <v>9972457.2400000002</v>
      </c>
      <c r="K31" s="244" t="s">
        <v>343</v>
      </c>
      <c r="L31" s="234" t="s">
        <v>83</v>
      </c>
      <c r="M31" s="50" t="s">
        <v>58</v>
      </c>
      <c r="N31" s="51">
        <v>4846628.13</v>
      </c>
      <c r="O31" s="51">
        <v>4737831.22</v>
      </c>
      <c r="P31" s="54">
        <v>7.4999999999999997E-3</v>
      </c>
      <c r="Q31" s="51">
        <v>567709.77933710115</v>
      </c>
      <c r="R31" s="51">
        <v>337675.01628619176</v>
      </c>
      <c r="S31" s="51">
        <f t="shared" si="1"/>
        <v>4170121.4406628986</v>
      </c>
      <c r="T31" s="183" t="s">
        <v>84</v>
      </c>
      <c r="U31" s="19"/>
    </row>
    <row r="32" spans="1:21" s="15" customFormat="1" ht="41.25" customHeight="1" outlineLevel="1" x14ac:dyDescent="0.25">
      <c r="A32" s="230"/>
      <c r="B32" s="232"/>
      <c r="C32" s="233"/>
      <c r="D32" s="243"/>
      <c r="E32" s="269"/>
      <c r="F32" s="265"/>
      <c r="G32" s="265"/>
      <c r="H32" s="267"/>
      <c r="I32" s="265"/>
      <c r="J32" s="265"/>
      <c r="K32" s="245"/>
      <c r="L32" s="235"/>
      <c r="M32" s="49" t="s">
        <v>3</v>
      </c>
      <c r="N32" s="51">
        <v>1740568345.9000001</v>
      </c>
      <c r="O32" s="51">
        <v>1740568345.9000001</v>
      </c>
      <c r="P32" s="54">
        <v>7.4999999999999997E-3</v>
      </c>
      <c r="Q32" s="51">
        <v>229697780</v>
      </c>
      <c r="R32" s="51">
        <v>122453004.27365503</v>
      </c>
      <c r="S32" s="51">
        <f t="shared" si="1"/>
        <v>1510870565.9000001</v>
      </c>
      <c r="T32" s="183" t="s">
        <v>84</v>
      </c>
      <c r="U32" s="19"/>
    </row>
    <row r="33" spans="1:22" ht="60" customHeight="1" outlineLevel="1" x14ac:dyDescent="0.25">
      <c r="A33" s="29">
        <v>18</v>
      </c>
      <c r="B33" s="47" t="s">
        <v>85</v>
      </c>
      <c r="C33" s="52" t="s">
        <v>86</v>
      </c>
      <c r="D33" s="184" t="s">
        <v>34</v>
      </c>
      <c r="E33" s="46" t="s">
        <v>406</v>
      </c>
      <c r="F33" s="48">
        <f>12782297+5112919</f>
        <v>17895216</v>
      </c>
      <c r="G33" s="48">
        <f>12782297+5112919</f>
        <v>17895216</v>
      </c>
      <c r="H33" s="46"/>
      <c r="I33" s="45">
        <f>2687350+357904</f>
        <v>3045254</v>
      </c>
      <c r="J33" s="48">
        <f>G33-I33</f>
        <v>14849962</v>
      </c>
      <c r="K33" s="55" t="s">
        <v>344</v>
      </c>
      <c r="L33" s="55" t="s">
        <v>87</v>
      </c>
      <c r="M33" s="50" t="s">
        <v>36</v>
      </c>
      <c r="N33" s="59">
        <v>17895215.550000001</v>
      </c>
      <c r="O33" s="51">
        <v>17895215.550000001</v>
      </c>
      <c r="P33" s="54">
        <v>7.4999999999999997E-3</v>
      </c>
      <c r="Q33" s="51">
        <v>7434693.9040968288</v>
      </c>
      <c r="R33" s="51">
        <v>2528934.6849614764</v>
      </c>
      <c r="S33" s="51">
        <f t="shared" si="1"/>
        <v>10460521.645903172</v>
      </c>
      <c r="T33" s="183" t="s">
        <v>60</v>
      </c>
      <c r="U33" s="19"/>
      <c r="V33" s="15"/>
    </row>
    <row r="34" spans="1:22" ht="40.5" customHeight="1" outlineLevel="1" x14ac:dyDescent="0.25">
      <c r="A34" s="229">
        <v>19</v>
      </c>
      <c r="B34" s="231" t="s">
        <v>88</v>
      </c>
      <c r="C34" s="224" t="s">
        <v>89</v>
      </c>
      <c r="D34" s="229" t="s">
        <v>299</v>
      </c>
      <c r="E34" s="261" t="s">
        <v>36</v>
      </c>
      <c r="F34" s="60">
        <v>14500000</v>
      </c>
      <c r="G34" s="60"/>
      <c r="H34" s="53"/>
      <c r="I34" s="61"/>
      <c r="J34" s="60">
        <f>G34-I34</f>
        <v>0</v>
      </c>
      <c r="K34" s="221" t="s">
        <v>345</v>
      </c>
      <c r="L34" s="53" t="s">
        <v>90</v>
      </c>
      <c r="M34" s="50" t="s">
        <v>36</v>
      </c>
      <c r="N34" s="62">
        <v>22000000</v>
      </c>
      <c r="O34" s="51">
        <v>21247150.510000002</v>
      </c>
      <c r="P34" s="63" t="s">
        <v>91</v>
      </c>
      <c r="Q34" s="51">
        <f>1047000+1047000+1047000+1047000</f>
        <v>4188000</v>
      </c>
      <c r="R34" s="51">
        <v>1562793.5</v>
      </c>
      <c r="S34" s="148">
        <f>O34-Q34</f>
        <v>17059150.510000002</v>
      </c>
      <c r="T34" s="183" t="s">
        <v>92</v>
      </c>
      <c r="U34" s="19"/>
      <c r="V34" s="15"/>
    </row>
    <row r="35" spans="1:22" ht="31.5" customHeight="1" outlineLevel="1" x14ac:dyDescent="0.25">
      <c r="A35" s="259"/>
      <c r="B35" s="260"/>
      <c r="C35" s="225"/>
      <c r="D35" s="259"/>
      <c r="E35" s="262"/>
      <c r="F35" s="60">
        <v>14500000</v>
      </c>
      <c r="G35" s="60">
        <v>697853.84</v>
      </c>
      <c r="H35" s="53"/>
      <c r="I35" s="61"/>
      <c r="J35" s="60">
        <f>G35-I35</f>
        <v>697853.84</v>
      </c>
      <c r="K35" s="222"/>
      <c r="L35" s="53" t="s">
        <v>93</v>
      </c>
      <c r="M35" s="50" t="s">
        <v>36</v>
      </c>
      <c r="N35" s="62">
        <v>14500000</v>
      </c>
      <c r="O35" s="51">
        <v>14491281.059999999</v>
      </c>
      <c r="P35" s="63" t="s">
        <v>37</v>
      </c>
      <c r="Q35" s="51">
        <f>241000+241000+241000+241000</f>
        <v>964000</v>
      </c>
      <c r="R35" s="51">
        <v>477284.5</v>
      </c>
      <c r="S35" s="148">
        <f>O35-Q35</f>
        <v>13527281.059999999</v>
      </c>
      <c r="T35" s="183" t="s">
        <v>92</v>
      </c>
      <c r="U35" s="19"/>
      <c r="V35" s="15"/>
    </row>
    <row r="36" spans="1:22" ht="42.75" customHeight="1" outlineLevel="1" x14ac:dyDescent="0.25">
      <c r="A36" s="230"/>
      <c r="B36" s="232"/>
      <c r="C36" s="233"/>
      <c r="D36" s="230"/>
      <c r="E36" s="263"/>
      <c r="F36" s="60">
        <v>22000000</v>
      </c>
      <c r="G36" s="60"/>
      <c r="H36" s="53"/>
      <c r="I36" s="61"/>
      <c r="J36" s="60">
        <f>G36-I36</f>
        <v>0</v>
      </c>
      <c r="K36" s="241"/>
      <c r="L36" s="53" t="s">
        <v>94</v>
      </c>
      <c r="M36" s="50" t="s">
        <v>36</v>
      </c>
      <c r="N36" s="62">
        <v>14500000</v>
      </c>
      <c r="O36" s="51">
        <v>14500000.000000002</v>
      </c>
      <c r="P36" s="63" t="s">
        <v>95</v>
      </c>
      <c r="Q36" s="51">
        <v>2519999.6</v>
      </c>
      <c r="R36" s="51">
        <v>1700303.15</v>
      </c>
      <c r="S36" s="148">
        <f>O36-Q36</f>
        <v>11980000.400000002</v>
      </c>
      <c r="T36" s="183" t="s">
        <v>92</v>
      </c>
      <c r="U36" s="19"/>
      <c r="V36" s="15"/>
    </row>
    <row r="37" spans="1:22" ht="94.5" customHeight="1" outlineLevel="1" x14ac:dyDescent="0.25">
      <c r="A37" s="29">
        <v>20</v>
      </c>
      <c r="B37" s="53" t="s">
        <v>96</v>
      </c>
      <c r="C37" s="81" t="s">
        <v>97</v>
      </c>
      <c r="D37" s="184" t="s">
        <v>77</v>
      </c>
      <c r="E37" s="46" t="s">
        <v>79</v>
      </c>
      <c r="F37" s="64">
        <v>26409000000</v>
      </c>
      <c r="G37" s="48">
        <v>26399286331</v>
      </c>
      <c r="H37" s="63">
        <v>7.4999999999999997E-3</v>
      </c>
      <c r="I37" s="48">
        <v>432846331</v>
      </c>
      <c r="J37" s="60">
        <f>G37-I37</f>
        <v>25966440000</v>
      </c>
      <c r="K37" s="55" t="s">
        <v>346</v>
      </c>
      <c r="L37" s="49" t="s">
        <v>98</v>
      </c>
      <c r="M37" s="49" t="s">
        <v>79</v>
      </c>
      <c r="N37" s="64">
        <v>26409000000</v>
      </c>
      <c r="O37" s="51">
        <v>26399286331</v>
      </c>
      <c r="P37" s="54">
        <v>7.4999999999999997E-3</v>
      </c>
      <c r="Q37" s="51">
        <v>6924456331.1683521</v>
      </c>
      <c r="R37" s="51">
        <v>2534923948.0592432</v>
      </c>
      <c r="S37" s="48">
        <f t="shared" ref="S37:S46" si="2">O37-Q37</f>
        <v>19474829999.83165</v>
      </c>
      <c r="T37" s="183" t="s">
        <v>99</v>
      </c>
      <c r="U37" s="19"/>
      <c r="V37" s="15"/>
    </row>
    <row r="38" spans="1:22" ht="51.75" customHeight="1" outlineLevel="1" x14ac:dyDescent="0.25">
      <c r="A38" s="29">
        <v>21</v>
      </c>
      <c r="B38" s="47" t="s">
        <v>32</v>
      </c>
      <c r="C38" s="52" t="s">
        <v>100</v>
      </c>
      <c r="D38" s="29" t="s">
        <v>101</v>
      </c>
      <c r="E38" s="46"/>
      <c r="F38" s="46"/>
      <c r="G38" s="46"/>
      <c r="H38" s="46"/>
      <c r="I38" s="46"/>
      <c r="J38" s="46"/>
      <c r="K38" s="55" t="s">
        <v>347</v>
      </c>
      <c r="L38" s="49" t="s">
        <v>102</v>
      </c>
      <c r="M38" s="50" t="s">
        <v>58</v>
      </c>
      <c r="N38" s="51">
        <v>8988290</v>
      </c>
      <c r="O38" s="51">
        <v>8988290</v>
      </c>
      <c r="P38" s="58">
        <v>5.0000000000000001E-3</v>
      </c>
      <c r="Q38" s="51">
        <f>4199999.97+600000+600000+289644000/482.74+290820000/484.7+286458000/477.43+600000+600000</f>
        <v>8399999.9699999988</v>
      </c>
      <c r="R38" s="51">
        <v>838542.94244701625</v>
      </c>
      <c r="S38" s="48">
        <f t="shared" si="2"/>
        <v>588290.03000000119</v>
      </c>
      <c r="T38" s="183" t="s">
        <v>84</v>
      </c>
      <c r="U38" s="19"/>
      <c r="V38" s="15"/>
    </row>
    <row r="39" spans="1:22" ht="63.75" customHeight="1" outlineLevel="1" x14ac:dyDescent="0.25">
      <c r="A39" s="29">
        <v>22</v>
      </c>
      <c r="B39" s="47" t="s">
        <v>103</v>
      </c>
      <c r="C39" s="52" t="s">
        <v>100</v>
      </c>
      <c r="D39" s="29" t="s">
        <v>104</v>
      </c>
      <c r="E39" s="46"/>
      <c r="F39" s="46"/>
      <c r="G39" s="46"/>
      <c r="H39" s="46"/>
      <c r="I39" s="46"/>
      <c r="J39" s="46"/>
      <c r="K39" s="65" t="s">
        <v>348</v>
      </c>
      <c r="L39" s="51" t="s">
        <v>105</v>
      </c>
      <c r="M39" s="60" t="s">
        <v>3</v>
      </c>
      <c r="N39" s="51">
        <v>1757100000</v>
      </c>
      <c r="O39" s="51">
        <v>1757100000</v>
      </c>
      <c r="P39" s="54">
        <v>7.4999999999999997E-3</v>
      </c>
      <c r="Q39" s="51">
        <f>439275000+62753571.5+62753571.5+62753571.3+62753571.4+62753571.4+62753571.4+62753571.5</f>
        <v>878549999.99999988</v>
      </c>
      <c r="R39" s="51">
        <v>303383430.5</v>
      </c>
      <c r="S39" s="48">
        <f t="shared" si="2"/>
        <v>878550000.00000012</v>
      </c>
      <c r="T39" s="183" t="s">
        <v>84</v>
      </c>
      <c r="U39" s="19"/>
      <c r="V39" s="15"/>
    </row>
    <row r="40" spans="1:22" ht="63.75" customHeight="1" outlineLevel="1" x14ac:dyDescent="0.25">
      <c r="A40" s="66">
        <v>23</v>
      </c>
      <c r="B40" s="47" t="s">
        <v>103</v>
      </c>
      <c r="C40" s="137" t="s">
        <v>106</v>
      </c>
      <c r="D40" s="29"/>
      <c r="E40" s="46"/>
      <c r="F40" s="46"/>
      <c r="G40" s="46"/>
      <c r="H40" s="46"/>
      <c r="I40" s="46"/>
      <c r="J40" s="46"/>
      <c r="K40" s="65" t="s">
        <v>349</v>
      </c>
      <c r="L40" s="51" t="s">
        <v>107</v>
      </c>
      <c r="M40" s="60" t="s">
        <v>3</v>
      </c>
      <c r="N40" s="51">
        <v>18700000000</v>
      </c>
      <c r="O40" s="51">
        <v>18700000000</v>
      </c>
      <c r="P40" s="159">
        <v>7.4999999999999997E-2</v>
      </c>
      <c r="Q40" s="51">
        <f>890476190.5</f>
        <v>890476190.5</v>
      </c>
      <c r="R40" s="51">
        <f>1333335616.4+703171232.9+699328767.1</f>
        <v>2735835616.4000001</v>
      </c>
      <c r="S40" s="48">
        <f t="shared" si="2"/>
        <v>17809523809.5</v>
      </c>
      <c r="T40" s="183" t="s">
        <v>84</v>
      </c>
      <c r="U40" s="19"/>
      <c r="V40" s="15"/>
    </row>
    <row r="41" spans="1:22" ht="63.75" customHeight="1" outlineLevel="1" x14ac:dyDescent="0.25">
      <c r="A41" s="66">
        <v>24</v>
      </c>
      <c r="B41" s="47" t="s">
        <v>103</v>
      </c>
      <c r="C41" s="137" t="s">
        <v>300</v>
      </c>
      <c r="D41" s="29"/>
      <c r="E41" s="46"/>
      <c r="F41" s="46"/>
      <c r="G41" s="46"/>
      <c r="H41" s="46"/>
      <c r="I41" s="46"/>
      <c r="J41" s="46"/>
      <c r="K41" s="68"/>
      <c r="L41" s="51" t="s">
        <v>276</v>
      </c>
      <c r="M41" s="60" t="s">
        <v>3</v>
      </c>
      <c r="N41" s="51">
        <v>25000000000</v>
      </c>
      <c r="O41" s="51">
        <v>25000000000</v>
      </c>
      <c r="P41" s="159">
        <v>0.09</v>
      </c>
      <c r="Q41" s="51"/>
      <c r="R41" s="51">
        <f>1171232876.7+1121917808.3</f>
        <v>2293150685</v>
      </c>
      <c r="S41" s="48">
        <f t="shared" si="2"/>
        <v>25000000000</v>
      </c>
      <c r="T41" s="183" t="s">
        <v>84</v>
      </c>
      <c r="U41" s="19"/>
      <c r="V41" s="15"/>
    </row>
    <row r="42" spans="1:22" ht="63.75" customHeight="1" outlineLevel="1" x14ac:dyDescent="0.25">
      <c r="A42" s="66">
        <v>25</v>
      </c>
      <c r="B42" s="47" t="s">
        <v>103</v>
      </c>
      <c r="C42" s="137" t="s">
        <v>279</v>
      </c>
      <c r="D42" s="29"/>
      <c r="E42" s="46"/>
      <c r="F42" s="46"/>
      <c r="G42" s="46"/>
      <c r="H42" s="46"/>
      <c r="I42" s="46"/>
      <c r="J42" s="46"/>
      <c r="K42" s="65" t="s">
        <v>350</v>
      </c>
      <c r="L42" s="51" t="s">
        <v>280</v>
      </c>
      <c r="M42" s="60" t="s">
        <v>3</v>
      </c>
      <c r="N42" s="51">
        <v>2242223800</v>
      </c>
      <c r="O42" s="51">
        <v>2242223800</v>
      </c>
      <c r="P42" s="69">
        <v>9.1240000000000002E-2</v>
      </c>
      <c r="Q42" s="51"/>
      <c r="R42" s="51"/>
      <c r="S42" s="48">
        <f t="shared" si="2"/>
        <v>2242223800</v>
      </c>
      <c r="T42" s="183" t="s">
        <v>84</v>
      </c>
      <c r="U42" s="19"/>
      <c r="V42" s="15"/>
    </row>
    <row r="43" spans="1:22" ht="57.75" customHeight="1" outlineLevel="1" x14ac:dyDescent="0.25">
      <c r="A43" s="229">
        <v>26</v>
      </c>
      <c r="B43" s="231" t="s">
        <v>103</v>
      </c>
      <c r="C43" s="224" t="s">
        <v>108</v>
      </c>
      <c r="D43" s="184" t="s">
        <v>109</v>
      </c>
      <c r="E43" s="50" t="s">
        <v>58</v>
      </c>
      <c r="F43" s="48">
        <v>270000000</v>
      </c>
      <c r="G43" s="70">
        <v>7766059.0499999998</v>
      </c>
      <c r="H43" s="46"/>
      <c r="I43" s="46"/>
      <c r="J43" s="46"/>
      <c r="K43" s="244" t="s">
        <v>351</v>
      </c>
      <c r="L43" s="246" t="s">
        <v>110</v>
      </c>
      <c r="M43" s="50" t="s">
        <v>58</v>
      </c>
      <c r="N43" s="56">
        <v>270000000</v>
      </c>
      <c r="O43" s="51">
        <v>173574580.28</v>
      </c>
      <c r="P43" s="254">
        <v>0.03</v>
      </c>
      <c r="Q43" s="51">
        <v>51199088.700222775</v>
      </c>
      <c r="R43" s="51">
        <v>20309911.275648959</v>
      </c>
      <c r="S43" s="48">
        <f t="shared" si="2"/>
        <v>122375491.57977723</v>
      </c>
      <c r="T43" s="227" t="s">
        <v>92</v>
      </c>
      <c r="U43" s="19"/>
      <c r="V43" s="15"/>
    </row>
    <row r="44" spans="1:22" ht="57.75" customHeight="1" outlineLevel="1" x14ac:dyDescent="0.25">
      <c r="A44" s="230"/>
      <c r="B44" s="232"/>
      <c r="C44" s="233"/>
      <c r="D44" s="185"/>
      <c r="E44" s="150"/>
      <c r="F44" s="153"/>
      <c r="G44" s="71"/>
      <c r="H44" s="156"/>
      <c r="I44" s="156"/>
      <c r="J44" s="156"/>
      <c r="K44" s="245"/>
      <c r="L44" s="247"/>
      <c r="M44" s="60" t="s">
        <v>3</v>
      </c>
      <c r="N44" s="57">
        <v>1265847400</v>
      </c>
      <c r="O44" s="51">
        <f>9509488626+108542329</f>
        <v>9618030955</v>
      </c>
      <c r="P44" s="255"/>
      <c r="Q44" s="51">
        <v>2858334735.4763155</v>
      </c>
      <c r="R44" s="51">
        <v>1045375895.11175</v>
      </c>
      <c r="S44" s="48">
        <f t="shared" si="2"/>
        <v>6759696219.5236845</v>
      </c>
      <c r="T44" s="228"/>
      <c r="U44" s="19"/>
      <c r="V44" s="15"/>
    </row>
    <row r="45" spans="1:22" ht="57.75" customHeight="1" outlineLevel="1" x14ac:dyDescent="0.25">
      <c r="A45" s="29">
        <v>27</v>
      </c>
      <c r="B45" s="47" t="s">
        <v>103</v>
      </c>
      <c r="C45" s="52" t="s">
        <v>111</v>
      </c>
      <c r="D45" s="184"/>
      <c r="E45" s="50"/>
      <c r="F45" s="48"/>
      <c r="G45" s="70"/>
      <c r="H45" s="46"/>
      <c r="I45" s="46"/>
      <c r="J45" s="46"/>
      <c r="K45" s="146" t="s">
        <v>352</v>
      </c>
      <c r="L45" s="148" t="s">
        <v>112</v>
      </c>
      <c r="M45" s="152" t="s">
        <v>58</v>
      </c>
      <c r="N45" s="56">
        <v>8550000</v>
      </c>
      <c r="O45" s="51">
        <v>8407384.7100000009</v>
      </c>
      <c r="P45" s="54" t="s">
        <v>113</v>
      </c>
      <c r="Q45" s="51"/>
      <c r="R45" s="51">
        <v>1075488.448773416</v>
      </c>
      <c r="S45" s="161">
        <f t="shared" si="2"/>
        <v>8407384.7100000009</v>
      </c>
      <c r="T45" s="186" t="s">
        <v>114</v>
      </c>
      <c r="U45" s="19"/>
      <c r="V45" s="15"/>
    </row>
    <row r="46" spans="1:22" ht="78.75" customHeight="1" outlineLevel="1" thickBot="1" x14ac:dyDescent="0.3">
      <c r="A46" s="53">
        <v>28</v>
      </c>
      <c r="B46" s="72" t="s">
        <v>96</v>
      </c>
      <c r="C46" s="181" t="s">
        <v>111</v>
      </c>
      <c r="D46" s="187"/>
      <c r="E46" s="151"/>
      <c r="F46" s="161"/>
      <c r="G46" s="73"/>
      <c r="H46" s="162"/>
      <c r="I46" s="162"/>
      <c r="J46" s="162"/>
      <c r="K46" s="146" t="s">
        <v>353</v>
      </c>
      <c r="L46" s="74" t="s">
        <v>112</v>
      </c>
      <c r="M46" s="151" t="s">
        <v>58</v>
      </c>
      <c r="N46" s="75">
        <v>21450000</v>
      </c>
      <c r="O46" s="51">
        <v>21092210.790000003</v>
      </c>
      <c r="P46" s="54" t="s">
        <v>113</v>
      </c>
      <c r="Q46" s="51"/>
      <c r="R46" s="51">
        <v>2688803.610305253</v>
      </c>
      <c r="S46" s="153">
        <f t="shared" si="2"/>
        <v>21092210.790000003</v>
      </c>
      <c r="T46" s="186" t="s">
        <v>115</v>
      </c>
      <c r="U46" s="19"/>
    </row>
    <row r="47" spans="1:22" s="20" customFormat="1" ht="15" customHeight="1" x14ac:dyDescent="0.25">
      <c r="A47" s="206" t="s">
        <v>124</v>
      </c>
      <c r="B47" s="207"/>
      <c r="C47" s="207"/>
      <c r="D47" s="212" t="s">
        <v>36</v>
      </c>
      <c r="E47" s="213"/>
      <c r="F47" s="213"/>
      <c r="G47" s="213"/>
      <c r="H47" s="213"/>
      <c r="I47" s="213"/>
      <c r="J47" s="213"/>
      <c r="K47" s="213"/>
      <c r="L47" s="214"/>
      <c r="M47" s="76"/>
      <c r="N47" s="21">
        <f>SUMIF($M$5:$M$46,D47,$N$5:$N$46)</f>
        <v>275755742.28000003</v>
      </c>
      <c r="O47" s="21">
        <f>SUMIF($M$5:$M$46,D47,$O$5:$O$46)</f>
        <v>97929055.540000007</v>
      </c>
      <c r="P47" s="21"/>
      <c r="Q47" s="21">
        <f>SUMIF($M$5:$M$46,D47,$Q$5:$Q$46)</f>
        <v>28350263.743892349</v>
      </c>
      <c r="R47" s="21">
        <f>SUMIF($M$5:$M$46,D47,$R$5:$R$46)</f>
        <v>13945674.126921346</v>
      </c>
      <c r="S47" s="21">
        <f>SUMIF($M$5:$M$46,D47,$S$5:$S$46)</f>
        <v>69578791.796107665</v>
      </c>
      <c r="T47" s="188"/>
      <c r="U47" s="19"/>
    </row>
    <row r="48" spans="1:22" s="20" customFormat="1" ht="15" customHeight="1" x14ac:dyDescent="0.25">
      <c r="A48" s="208"/>
      <c r="B48" s="209"/>
      <c r="C48" s="209"/>
      <c r="D48" s="215" t="s">
        <v>3</v>
      </c>
      <c r="E48" s="216"/>
      <c r="F48" s="216"/>
      <c r="G48" s="216"/>
      <c r="H48" s="216"/>
      <c r="I48" s="216"/>
      <c r="J48" s="216"/>
      <c r="K48" s="216"/>
      <c r="L48" s="217"/>
      <c r="M48" s="77"/>
      <c r="N48" s="22">
        <f>SUMIF($M$5:$M$46,D48,$N$5:$N$46)</f>
        <v>50705739545.900002</v>
      </c>
      <c r="O48" s="22">
        <f>SUMIF($M$5:$M$46,D48,$O$5:$O$46)</f>
        <v>69322217450.300003</v>
      </c>
      <c r="P48" s="22"/>
      <c r="Q48" s="22">
        <f>SUMIF($M$5:$M$46,D48,$Q$5:$Q$46)</f>
        <v>5496657126.9763155</v>
      </c>
      <c r="R48" s="22">
        <f>SUMIF($M$5:$M$46,D48,$R$5:$R$46)</f>
        <v>7807613177.2337074</v>
      </c>
      <c r="S48" s="22">
        <f>SUMIF($M$5:$M$46,D48,$S$5:$S$46)</f>
        <v>63825560323.323685</v>
      </c>
      <c r="T48" s="189"/>
      <c r="U48" s="19"/>
    </row>
    <row r="49" spans="1:21" s="20" customFormat="1" ht="15" customHeight="1" x14ac:dyDescent="0.25">
      <c r="A49" s="208"/>
      <c r="B49" s="209"/>
      <c r="C49" s="209"/>
      <c r="D49" s="215" t="s">
        <v>58</v>
      </c>
      <c r="E49" s="216"/>
      <c r="F49" s="216"/>
      <c r="G49" s="216"/>
      <c r="H49" s="216"/>
      <c r="I49" s="216"/>
      <c r="J49" s="216"/>
      <c r="K49" s="216"/>
      <c r="L49" s="217"/>
      <c r="M49" s="77"/>
      <c r="N49" s="22">
        <f>SUMIF($M$5:$M$46,D49,$N$5:$N$46)</f>
        <v>443654882.72000003</v>
      </c>
      <c r="O49" s="22">
        <f>SUMIF($M$5:$M$46,D49,$O$5:$O$46)</f>
        <v>321796493.38999999</v>
      </c>
      <c r="P49" s="22"/>
      <c r="Q49" s="22">
        <f>SUMIF($M$5:$M$46,D49,$Q$5:$Q$46)</f>
        <v>73198536.1628526</v>
      </c>
      <c r="R49" s="22">
        <f>SUMIF($M$5:$M$46,D49,$R$5:$R$46)</f>
        <v>38501603.487161532</v>
      </c>
      <c r="S49" s="22">
        <f>SUMIF($M$5:$M$46,D49,$S$5:$S$46)</f>
        <v>248597957.2271474</v>
      </c>
      <c r="T49" s="189"/>
      <c r="U49" s="19"/>
    </row>
    <row r="50" spans="1:21" s="20" customFormat="1" ht="15" customHeight="1" x14ac:dyDescent="0.25">
      <c r="A50" s="208"/>
      <c r="B50" s="209"/>
      <c r="C50" s="209"/>
      <c r="D50" s="256" t="s">
        <v>79</v>
      </c>
      <c r="E50" s="257"/>
      <c r="F50" s="257"/>
      <c r="G50" s="257"/>
      <c r="H50" s="257"/>
      <c r="I50" s="257"/>
      <c r="J50" s="257"/>
      <c r="K50" s="257"/>
      <c r="L50" s="258"/>
      <c r="M50" s="109"/>
      <c r="N50" s="110">
        <f>SUMIF($M$5:$M$46,D50,$N$5:$N$46)</f>
        <v>31777311969</v>
      </c>
      <c r="O50" s="110">
        <f>SUMIF($M$5:$M$46,D50,$O$5:$O$46)</f>
        <v>31859249643</v>
      </c>
      <c r="P50" s="110"/>
      <c r="Q50" s="110">
        <f>SUMIF($M$5:$M$46,D50,$Q$5:$Q$46)</f>
        <v>10468472425.228352</v>
      </c>
      <c r="R50" s="110">
        <f>SUMIF($M$5:$M$46,D50,$R$5:$R$46)</f>
        <v>3314986633.2419791</v>
      </c>
      <c r="S50" s="110">
        <f>SUMIF($M$5:$M$46,D50,$S$5:$S$46)</f>
        <v>21390777217.771648</v>
      </c>
      <c r="T50" s="190"/>
      <c r="U50" s="19"/>
    </row>
    <row r="51" spans="1:21" s="20" customFormat="1" ht="15" customHeight="1" thickBot="1" x14ac:dyDescent="0.3">
      <c r="A51" s="208"/>
      <c r="B51" s="209"/>
      <c r="C51" s="209"/>
      <c r="D51" s="251" t="s">
        <v>69</v>
      </c>
      <c r="E51" s="252"/>
      <c r="F51" s="252"/>
      <c r="G51" s="252"/>
      <c r="H51" s="252"/>
      <c r="I51" s="252"/>
      <c r="J51" s="252"/>
      <c r="K51" s="252"/>
      <c r="L51" s="253"/>
      <c r="M51" s="176"/>
      <c r="N51" s="177">
        <f>SUMIF($M$5:$M$46,D51,$N$5:$N$46)</f>
        <v>24086688</v>
      </c>
      <c r="O51" s="177">
        <f>SUMIF($M$5:$M$46,D51,$O$5:$O$46)</f>
        <v>18496922.612149809</v>
      </c>
      <c r="P51" s="177"/>
      <c r="Q51" s="177">
        <f>SUMIF($M$5:$M$46,D51,$Q$5:$Q$46)</f>
        <v>2484287.1020153989</v>
      </c>
      <c r="R51" s="177">
        <f>SUMIF($M$5:$M$46,D51,$R$5:$R$46)</f>
        <v>1941310.5462962727</v>
      </c>
      <c r="S51" s="177">
        <f>SUMIF($M$5:$M$46,D51,$S$5:$S$46)</f>
        <v>16012635.51013441</v>
      </c>
      <c r="T51" s="191"/>
      <c r="U51" s="19"/>
    </row>
    <row r="52" spans="1:21" ht="78" customHeight="1" outlineLevel="1" thickTop="1" x14ac:dyDescent="0.25">
      <c r="A52" s="79">
        <v>29</v>
      </c>
      <c r="B52" s="44" t="s">
        <v>125</v>
      </c>
      <c r="C52" s="138" t="s">
        <v>126</v>
      </c>
      <c r="D52" s="192" t="s">
        <v>127</v>
      </c>
      <c r="E52" s="152" t="s">
        <v>36</v>
      </c>
      <c r="F52" s="154">
        <v>5000000</v>
      </c>
      <c r="G52" s="154">
        <v>5000000</v>
      </c>
      <c r="H52" s="160" t="s">
        <v>129</v>
      </c>
      <c r="I52" s="43">
        <v>1041667</v>
      </c>
      <c r="J52" s="154">
        <f>G52-I52</f>
        <v>3958333</v>
      </c>
      <c r="K52" s="146" t="s">
        <v>354</v>
      </c>
      <c r="L52" s="146" t="s">
        <v>128</v>
      </c>
      <c r="M52" s="152" t="s">
        <v>36</v>
      </c>
      <c r="N52" s="148">
        <v>5000000</v>
      </c>
      <c r="O52" s="148">
        <v>5000000</v>
      </c>
      <c r="P52" s="160" t="s">
        <v>129</v>
      </c>
      <c r="Q52" s="148">
        <v>4166666.6925234399</v>
      </c>
      <c r="R52" s="148">
        <v>523498.34149602189</v>
      </c>
      <c r="S52" s="148">
        <f t="shared" ref="S52:S57" si="3">O52-Q52</f>
        <v>833333.30747656012</v>
      </c>
      <c r="T52" s="182" t="s">
        <v>84</v>
      </c>
    </row>
    <row r="53" spans="1:21" ht="71.25" customHeight="1" outlineLevel="1" x14ac:dyDescent="0.25">
      <c r="A53" s="66">
        <v>30</v>
      </c>
      <c r="B53" s="231" t="s">
        <v>130</v>
      </c>
      <c r="C53" s="137" t="s">
        <v>131</v>
      </c>
      <c r="D53" s="185" t="s">
        <v>127</v>
      </c>
      <c r="E53" s="50" t="s">
        <v>36</v>
      </c>
      <c r="F53" s="48">
        <v>5000000</v>
      </c>
      <c r="G53" s="48">
        <f>3302053.81+58000+43500</f>
        <v>3403553.81</v>
      </c>
      <c r="H53" s="54" t="s">
        <v>129</v>
      </c>
      <c r="I53" s="48">
        <v>0</v>
      </c>
      <c r="J53" s="48">
        <f>G53-I53</f>
        <v>3403553.81</v>
      </c>
      <c r="K53" s="145" t="s">
        <v>355</v>
      </c>
      <c r="L53" s="145" t="s">
        <v>132</v>
      </c>
      <c r="M53" s="50" t="s">
        <v>36</v>
      </c>
      <c r="N53" s="51">
        <v>5000000</v>
      </c>
      <c r="O53" s="51">
        <v>5000000</v>
      </c>
      <c r="P53" s="159" t="s">
        <v>129</v>
      </c>
      <c r="Q53" s="51">
        <v>3125000</v>
      </c>
      <c r="R53" s="51">
        <v>291720.90000000002</v>
      </c>
      <c r="S53" s="51">
        <f t="shared" si="3"/>
        <v>1875000</v>
      </c>
      <c r="T53" s="227" t="s">
        <v>84</v>
      </c>
    </row>
    <row r="54" spans="1:21" ht="71.25" customHeight="1" outlineLevel="1" x14ac:dyDescent="0.25">
      <c r="A54" s="66">
        <v>31</v>
      </c>
      <c r="B54" s="232"/>
      <c r="C54" s="137"/>
      <c r="D54" s="185"/>
      <c r="E54" s="50"/>
      <c r="F54" s="48"/>
      <c r="G54" s="48"/>
      <c r="H54" s="54"/>
      <c r="I54" s="48"/>
      <c r="J54" s="48"/>
      <c r="K54" s="145"/>
      <c r="L54" s="145"/>
      <c r="M54" s="150" t="s">
        <v>3</v>
      </c>
      <c r="N54" s="51"/>
      <c r="O54" s="51">
        <v>66094595</v>
      </c>
      <c r="P54" s="159"/>
      <c r="Q54" s="51">
        <v>6609471.4408984035</v>
      </c>
      <c r="R54" s="51">
        <v>167622.63173653893</v>
      </c>
      <c r="S54" s="51">
        <f t="shared" si="3"/>
        <v>59485123.559101596</v>
      </c>
      <c r="T54" s="228"/>
    </row>
    <row r="55" spans="1:21" ht="55.5" customHeight="1" outlineLevel="1" x14ac:dyDescent="0.25">
      <c r="A55" s="29">
        <v>32</v>
      </c>
      <c r="B55" s="47" t="s">
        <v>133</v>
      </c>
      <c r="C55" s="52" t="s">
        <v>134</v>
      </c>
      <c r="D55" s="184" t="s">
        <v>135</v>
      </c>
      <c r="E55" s="50" t="s">
        <v>36</v>
      </c>
      <c r="F55" s="48">
        <v>5000000</v>
      </c>
      <c r="G55" s="48">
        <v>5000000</v>
      </c>
      <c r="H55" s="54" t="s">
        <v>407</v>
      </c>
      <c r="I55" s="45"/>
      <c r="J55" s="48">
        <f>G55-I55</f>
        <v>5000000</v>
      </c>
      <c r="K55" s="55" t="s">
        <v>356</v>
      </c>
      <c r="L55" s="55" t="s">
        <v>136</v>
      </c>
      <c r="M55" s="50" t="s">
        <v>36</v>
      </c>
      <c r="N55" s="51">
        <v>5000000</v>
      </c>
      <c r="O55" s="51">
        <v>5000000</v>
      </c>
      <c r="P55" s="54" t="s">
        <v>129</v>
      </c>
      <c r="Q55" s="51">
        <v>3227272.7406421094</v>
      </c>
      <c r="R55" s="51">
        <v>320570.26842924446</v>
      </c>
      <c r="S55" s="51">
        <f t="shared" si="3"/>
        <v>1772727.2593578906</v>
      </c>
      <c r="T55" s="183" t="s">
        <v>84</v>
      </c>
    </row>
    <row r="56" spans="1:21" ht="57" customHeight="1" outlineLevel="1" x14ac:dyDescent="0.25">
      <c r="A56" s="229">
        <v>33</v>
      </c>
      <c r="B56" s="231" t="s">
        <v>137</v>
      </c>
      <c r="C56" s="224" t="s">
        <v>138</v>
      </c>
      <c r="D56" s="185" t="s">
        <v>135</v>
      </c>
      <c r="E56" s="150" t="s">
        <v>36</v>
      </c>
      <c r="F56" s="153">
        <v>5000000</v>
      </c>
      <c r="G56" s="153">
        <v>2000000</v>
      </c>
      <c r="H56" s="159" t="s">
        <v>408</v>
      </c>
      <c r="I56" s="153">
        <v>0</v>
      </c>
      <c r="J56" s="153">
        <f>G56-I56</f>
        <v>2000000</v>
      </c>
      <c r="K56" s="145" t="s">
        <v>357</v>
      </c>
      <c r="L56" s="145" t="s">
        <v>139</v>
      </c>
      <c r="M56" s="150" t="s">
        <v>36</v>
      </c>
      <c r="N56" s="147">
        <v>5000000</v>
      </c>
      <c r="O56" s="51">
        <v>3000000</v>
      </c>
      <c r="P56" s="69" t="s">
        <v>301</v>
      </c>
      <c r="Q56" s="51">
        <v>566091.95402298844</v>
      </c>
      <c r="R56" s="51">
        <v>207082.43728803218</v>
      </c>
      <c r="S56" s="147">
        <f t="shared" si="3"/>
        <v>2433908.0459770113</v>
      </c>
      <c r="T56" s="227" t="s">
        <v>84</v>
      </c>
    </row>
    <row r="57" spans="1:21" ht="57" customHeight="1" outlineLevel="1" thickBot="1" x14ac:dyDescent="0.3">
      <c r="A57" s="248"/>
      <c r="B57" s="249"/>
      <c r="C57" s="226"/>
      <c r="D57" s="185" t="s">
        <v>135</v>
      </c>
      <c r="E57" s="150" t="s">
        <v>36</v>
      </c>
      <c r="F57" s="153">
        <v>5000000</v>
      </c>
      <c r="G57" s="153">
        <v>2000000</v>
      </c>
      <c r="H57" s="159" t="s">
        <v>408</v>
      </c>
      <c r="I57" s="153">
        <v>0</v>
      </c>
      <c r="J57" s="153">
        <f>G57-I57</f>
        <v>2000000</v>
      </c>
      <c r="K57" s="145" t="s">
        <v>357</v>
      </c>
      <c r="L57" s="145" t="s">
        <v>277</v>
      </c>
      <c r="M57" s="150" t="s">
        <v>3</v>
      </c>
      <c r="N57" s="147"/>
      <c r="O57" s="51">
        <v>69055257.109999999</v>
      </c>
      <c r="P57" s="69">
        <v>1.404E-2</v>
      </c>
      <c r="Q57" s="51">
        <v>7284586.1214816347</v>
      </c>
      <c r="R57" s="51">
        <v>964864.45105317794</v>
      </c>
      <c r="S57" s="147">
        <f t="shared" si="3"/>
        <v>61770670.988518365</v>
      </c>
      <c r="T57" s="250"/>
    </row>
    <row r="58" spans="1:21" s="20" customFormat="1" ht="15" customHeight="1" x14ac:dyDescent="0.25">
      <c r="A58" s="206" t="s">
        <v>140</v>
      </c>
      <c r="B58" s="207"/>
      <c r="C58" s="207"/>
      <c r="D58" s="212" t="s">
        <v>36</v>
      </c>
      <c r="E58" s="213"/>
      <c r="F58" s="213"/>
      <c r="G58" s="213"/>
      <c r="H58" s="213"/>
      <c r="I58" s="213"/>
      <c r="J58" s="213"/>
      <c r="K58" s="213"/>
      <c r="L58" s="214"/>
      <c r="M58" s="76"/>
      <c r="N58" s="21">
        <f>SUMIF($M$52:$M$57,D58,$N$52:$N$57)</f>
        <v>20000000</v>
      </c>
      <c r="O58" s="21">
        <f>SUMIF($M$52:$M$57,D58,$O$52:$O$57)</f>
        <v>18000000</v>
      </c>
      <c r="P58" s="26"/>
      <c r="Q58" s="21">
        <f>SUMIF($M$52:$M$57,D58,$Q$52:$Q$57)</f>
        <v>11085031.387188539</v>
      </c>
      <c r="R58" s="21">
        <f>SUMIF($M$52:$M$57,D58,$R$52:$R$57)</f>
        <v>1342871.9472132984</v>
      </c>
      <c r="S58" s="21">
        <f>SUMIF($M$52:$M$57,D58,$S$52:$S$57)</f>
        <v>6914968.612811462</v>
      </c>
      <c r="T58" s="188"/>
      <c r="U58" s="19"/>
    </row>
    <row r="59" spans="1:21" s="20" customFormat="1" ht="15" customHeight="1" x14ac:dyDescent="0.25">
      <c r="A59" s="208"/>
      <c r="B59" s="209"/>
      <c r="C59" s="209"/>
      <c r="D59" s="215" t="s">
        <v>3</v>
      </c>
      <c r="E59" s="216"/>
      <c r="F59" s="216"/>
      <c r="G59" s="216"/>
      <c r="H59" s="216"/>
      <c r="I59" s="216"/>
      <c r="J59" s="216"/>
      <c r="K59" s="216"/>
      <c r="L59" s="217"/>
      <c r="M59" s="77"/>
      <c r="N59" s="22">
        <f>SUMIF($M$52:$M$57,D59,$N$52:$N$57)</f>
        <v>0</v>
      </c>
      <c r="O59" s="22">
        <f>SUMIF($M$52:$M$57,D59,$O$52:$O$57)</f>
        <v>135149852.11000001</v>
      </c>
      <c r="P59" s="22"/>
      <c r="Q59" s="22">
        <f>SUMIF($M$52:$M$57,D59,$Q$52:$Q$57)</f>
        <v>13894057.562380038</v>
      </c>
      <c r="R59" s="22">
        <f>SUMIF($M$52:$M$57,D59,$R$52:$R$57)</f>
        <v>1132487.0827897168</v>
      </c>
      <c r="S59" s="22">
        <f>SUMIF($M$52:$M$57,D59,$S$52:$S$57)</f>
        <v>121255794.54761997</v>
      </c>
      <c r="T59" s="189"/>
      <c r="U59" s="19"/>
    </row>
    <row r="60" spans="1:21" s="20" customFormat="1" ht="15" customHeight="1" x14ac:dyDescent="0.25">
      <c r="A60" s="208"/>
      <c r="B60" s="209"/>
      <c r="C60" s="209"/>
      <c r="D60" s="215" t="s">
        <v>58</v>
      </c>
      <c r="E60" s="216"/>
      <c r="F60" s="216"/>
      <c r="G60" s="216"/>
      <c r="H60" s="216"/>
      <c r="I60" s="216"/>
      <c r="J60" s="216"/>
      <c r="K60" s="216"/>
      <c r="L60" s="217"/>
      <c r="M60" s="77"/>
      <c r="N60" s="22">
        <f>SUMIF($M$52:$M$57,D60,$N$52:$N$57)</f>
        <v>0</v>
      </c>
      <c r="O60" s="22">
        <f>SUMIF($M$52:$M$57,D60,$O$52:$O$57)</f>
        <v>0</v>
      </c>
      <c r="P60" s="22"/>
      <c r="Q60" s="22">
        <f>SUMIF($M$52:$M$57,D60,$Q$52:$Q$57)</f>
        <v>0</v>
      </c>
      <c r="R60" s="22">
        <f>SUMIF($M$52:$M$57,D60,$R$52:$R$57)</f>
        <v>0</v>
      </c>
      <c r="S60" s="22">
        <f>SUMIF($M$52:$M$57,D60,$S$52:$S$57)</f>
        <v>0</v>
      </c>
      <c r="T60" s="189"/>
      <c r="U60" s="19"/>
    </row>
    <row r="61" spans="1:21" s="20" customFormat="1" ht="15" customHeight="1" thickBot="1" x14ac:dyDescent="0.3">
      <c r="A61" s="210"/>
      <c r="B61" s="211"/>
      <c r="C61" s="211"/>
      <c r="D61" s="218" t="s">
        <v>79</v>
      </c>
      <c r="E61" s="219"/>
      <c r="F61" s="219"/>
      <c r="G61" s="219"/>
      <c r="H61" s="219"/>
      <c r="I61" s="219"/>
      <c r="J61" s="219"/>
      <c r="K61" s="219"/>
      <c r="L61" s="220"/>
      <c r="M61" s="78"/>
      <c r="N61" s="23">
        <f>SUMIF($M$52:$M$57,D61,$N$52:$N$57)</f>
        <v>0</v>
      </c>
      <c r="O61" s="23">
        <f>SUMIF($M$52:$M$57,D61,$O$52:$O$57)</f>
        <v>0</v>
      </c>
      <c r="P61" s="23"/>
      <c r="Q61" s="23">
        <f>SUMIF($M$52:$M$57,D61,$Q$52:$Q$57)</f>
        <v>0</v>
      </c>
      <c r="R61" s="23">
        <f>SUMIF($M$52:$M$57,D61,$R$52:$R$57)</f>
        <v>0</v>
      </c>
      <c r="S61" s="23">
        <f>SUMIF($M$52:$M$57,D61,$S$52:$S$57)</f>
        <v>0</v>
      </c>
      <c r="T61" s="193"/>
      <c r="U61" s="19"/>
    </row>
    <row r="62" spans="1:21" s="18" customFormat="1" ht="91.5" customHeight="1" outlineLevel="1" x14ac:dyDescent="0.25">
      <c r="A62" s="29">
        <v>34</v>
      </c>
      <c r="B62" s="53" t="s">
        <v>141</v>
      </c>
      <c r="C62" s="52" t="s">
        <v>142</v>
      </c>
      <c r="D62" s="29" t="s">
        <v>109</v>
      </c>
      <c r="E62" s="53"/>
      <c r="F62" s="53"/>
      <c r="G62" s="53"/>
      <c r="H62" s="53"/>
      <c r="I62" s="53"/>
      <c r="J62" s="53"/>
      <c r="K62" s="80" t="s">
        <v>358</v>
      </c>
      <c r="L62" s="53" t="s">
        <v>143</v>
      </c>
      <c r="M62" s="53" t="s">
        <v>3</v>
      </c>
      <c r="N62" s="51">
        <v>74000000000</v>
      </c>
      <c r="O62" s="51">
        <v>74000000000</v>
      </c>
      <c r="P62" s="54" t="s">
        <v>144</v>
      </c>
      <c r="Q62" s="51">
        <f>38761904762.2+1761904761.9+1761904761.9+1761904761.9+1761904761.9+1761904761.9+1761904761.9+1761904761.9+1761904761.9+1761904761.9+1761904761.9+1761904761.9+1761904761.9+1761904761.9</f>
        <v>61666666666.900017</v>
      </c>
      <c r="R62" s="51">
        <f>27339833897.7+5902650.9</f>
        <v>27345736548.600002</v>
      </c>
      <c r="S62" s="48">
        <f t="shared" ref="S62:S68" si="4">O62-Q62</f>
        <v>12333333333.099983</v>
      </c>
      <c r="T62" s="183" t="s">
        <v>84</v>
      </c>
      <c r="U62" s="17"/>
    </row>
    <row r="63" spans="1:21" s="18" customFormat="1" ht="91.5" customHeight="1" outlineLevel="1" x14ac:dyDescent="0.25">
      <c r="A63" s="29">
        <v>35</v>
      </c>
      <c r="B63" s="53" t="s">
        <v>141</v>
      </c>
      <c r="C63" s="52" t="s">
        <v>145</v>
      </c>
      <c r="D63" s="29" t="s">
        <v>302</v>
      </c>
      <c r="E63" s="53"/>
      <c r="F63" s="53"/>
      <c r="G63" s="53"/>
      <c r="H63" s="53"/>
      <c r="I63" s="53"/>
      <c r="J63" s="53"/>
      <c r="K63" s="80" t="s">
        <v>359</v>
      </c>
      <c r="L63" s="53" t="s">
        <v>146</v>
      </c>
      <c r="M63" s="53" t="s">
        <v>3</v>
      </c>
      <c r="N63" s="51">
        <v>2035890300</v>
      </c>
      <c r="O63" s="51">
        <v>2035890300</v>
      </c>
      <c r="P63" s="54" t="s">
        <v>51</v>
      </c>
      <c r="Q63" s="51">
        <v>0</v>
      </c>
      <c r="R63" s="51">
        <v>0</v>
      </c>
      <c r="S63" s="48">
        <f t="shared" si="4"/>
        <v>2035890300</v>
      </c>
      <c r="T63" s="183" t="s">
        <v>84</v>
      </c>
      <c r="U63" s="17"/>
    </row>
    <row r="64" spans="1:21" ht="121.5" outlineLevel="1" x14ac:dyDescent="0.25">
      <c r="A64" s="79">
        <v>36</v>
      </c>
      <c r="B64" s="47" t="s">
        <v>147</v>
      </c>
      <c r="C64" s="52" t="s">
        <v>148</v>
      </c>
      <c r="D64" s="184" t="s">
        <v>34</v>
      </c>
      <c r="E64" s="50" t="s">
        <v>36</v>
      </c>
      <c r="F64" s="48">
        <v>3500000</v>
      </c>
      <c r="G64" s="48">
        <v>3500000</v>
      </c>
      <c r="H64" s="54">
        <v>7.4999999999999997E-3</v>
      </c>
      <c r="I64" s="45">
        <v>0</v>
      </c>
      <c r="J64" s="48">
        <f>G64-I64</f>
        <v>3500000</v>
      </c>
      <c r="K64" s="55" t="s">
        <v>360</v>
      </c>
      <c r="L64" s="49" t="s">
        <v>149</v>
      </c>
      <c r="M64" s="50" t="s">
        <v>36</v>
      </c>
      <c r="N64" s="51">
        <v>3500000</v>
      </c>
      <c r="O64" s="51">
        <v>3500000</v>
      </c>
      <c r="P64" s="54">
        <v>7.4999999999999997E-3</v>
      </c>
      <c r="Q64" s="51">
        <f>696000+31440060/542.07+58000</f>
        <v>812000</v>
      </c>
      <c r="R64" s="51">
        <f>399592.922231146+10515+10297.5</f>
        <v>420405.42223114602</v>
      </c>
      <c r="S64" s="48">
        <f t="shared" si="4"/>
        <v>2688000</v>
      </c>
      <c r="T64" s="183" t="s">
        <v>84</v>
      </c>
    </row>
    <row r="65" spans="1:21" ht="69" customHeight="1" outlineLevel="1" x14ac:dyDescent="0.25">
      <c r="A65" s="29">
        <v>37</v>
      </c>
      <c r="B65" s="47" t="s">
        <v>150</v>
      </c>
      <c r="C65" s="52" t="s">
        <v>151</v>
      </c>
      <c r="D65" s="29" t="s">
        <v>152</v>
      </c>
      <c r="E65" s="46" t="s">
        <v>403</v>
      </c>
      <c r="F65" s="70">
        <v>1173750</v>
      </c>
      <c r="G65" s="70">
        <v>1109413</v>
      </c>
      <c r="H65" s="63"/>
      <c r="I65" s="70"/>
      <c r="J65" s="70"/>
      <c r="K65" s="46" t="s">
        <v>361</v>
      </c>
      <c r="L65" s="49" t="s">
        <v>153</v>
      </c>
      <c r="M65" s="50" t="s">
        <v>58</v>
      </c>
      <c r="N65" s="48">
        <v>1689937.9</v>
      </c>
      <c r="O65" s="51">
        <v>1689937.9</v>
      </c>
      <c r="P65" s="63">
        <v>5.9900000000000002E-2</v>
      </c>
      <c r="Q65" s="51">
        <f>788166.37+28165</f>
        <v>816331.37</v>
      </c>
      <c r="R65" s="51">
        <f>1910586.5+27294.41</f>
        <v>1937880.91</v>
      </c>
      <c r="S65" s="48">
        <f t="shared" si="4"/>
        <v>873606.52999999991</v>
      </c>
      <c r="T65" s="194" t="s">
        <v>84</v>
      </c>
    </row>
    <row r="66" spans="1:21" ht="69.75" customHeight="1" outlineLevel="1" x14ac:dyDescent="0.25">
      <c r="A66" s="79">
        <v>38</v>
      </c>
      <c r="B66" s="47" t="s">
        <v>154</v>
      </c>
      <c r="C66" s="52" t="s">
        <v>155</v>
      </c>
      <c r="D66" s="29" t="s">
        <v>152</v>
      </c>
      <c r="E66" s="50" t="s">
        <v>58</v>
      </c>
      <c r="F66" s="70">
        <v>2828000</v>
      </c>
      <c r="G66" s="70">
        <v>2828000</v>
      </c>
      <c r="H66" s="63"/>
      <c r="I66" s="70"/>
      <c r="J66" s="70"/>
      <c r="K66" s="46" t="s">
        <v>362</v>
      </c>
      <c r="L66" s="49" t="s">
        <v>156</v>
      </c>
      <c r="M66" s="50" t="s">
        <v>58</v>
      </c>
      <c r="N66" s="48">
        <v>2828000</v>
      </c>
      <c r="O66" s="51">
        <v>2828000</v>
      </c>
      <c r="P66" s="63">
        <v>5.9900000000000002E-2</v>
      </c>
      <c r="Q66" s="51">
        <v>1081862.33</v>
      </c>
      <c r="R66" s="51">
        <v>2863925.1100000008</v>
      </c>
      <c r="S66" s="48">
        <f t="shared" si="4"/>
        <v>1746137.67</v>
      </c>
      <c r="T66" s="194" t="s">
        <v>84</v>
      </c>
    </row>
    <row r="67" spans="1:21" s="25" customFormat="1" ht="177" customHeight="1" outlineLevel="1" x14ac:dyDescent="0.2">
      <c r="A67" s="29">
        <v>39</v>
      </c>
      <c r="B67" s="47" t="s">
        <v>157</v>
      </c>
      <c r="C67" s="52" t="s">
        <v>158</v>
      </c>
      <c r="D67" s="29" t="s">
        <v>152</v>
      </c>
      <c r="E67" s="46" t="s">
        <v>403</v>
      </c>
      <c r="F67" s="70">
        <v>7900000</v>
      </c>
      <c r="G67" s="82"/>
      <c r="H67" s="82"/>
      <c r="I67" s="82"/>
      <c r="J67" s="82"/>
      <c r="K67" s="49" t="s">
        <v>363</v>
      </c>
      <c r="L67" s="49" t="s">
        <v>159</v>
      </c>
      <c r="M67" s="53" t="s">
        <v>3</v>
      </c>
      <c r="N67" s="83">
        <v>2092000000</v>
      </c>
      <c r="O67" s="51">
        <v>2092000000</v>
      </c>
      <c r="P67" s="84">
        <v>0.02</v>
      </c>
      <c r="Q67" s="51">
        <v>354576270</v>
      </c>
      <c r="R67" s="51">
        <v>428638211.8599999</v>
      </c>
      <c r="S67" s="48">
        <f t="shared" si="4"/>
        <v>1737423730</v>
      </c>
      <c r="T67" s="194" t="s">
        <v>84</v>
      </c>
      <c r="U67" s="24"/>
    </row>
    <row r="68" spans="1:21" s="25" customFormat="1" ht="169.5" customHeight="1" outlineLevel="1" thickBot="1" x14ac:dyDescent="0.25">
      <c r="A68" s="79">
        <v>40</v>
      </c>
      <c r="B68" s="47" t="s">
        <v>157</v>
      </c>
      <c r="C68" s="52" t="s">
        <v>160</v>
      </c>
      <c r="D68" s="29" t="s">
        <v>152</v>
      </c>
      <c r="E68" s="46"/>
      <c r="F68" s="70"/>
      <c r="G68" s="82"/>
      <c r="H68" s="82"/>
      <c r="I68" s="82"/>
      <c r="J68" s="82"/>
      <c r="K68" s="49" t="s">
        <v>364</v>
      </c>
      <c r="L68" s="49" t="s">
        <v>161</v>
      </c>
      <c r="M68" s="49" t="s">
        <v>3</v>
      </c>
      <c r="N68" s="83">
        <v>2187306400</v>
      </c>
      <c r="O68" s="83">
        <v>2187306400</v>
      </c>
      <c r="P68" s="84">
        <v>0.03</v>
      </c>
      <c r="Q68" s="51">
        <v>0</v>
      </c>
      <c r="R68" s="51">
        <v>224789707.90000001</v>
      </c>
      <c r="S68" s="48">
        <f t="shared" si="4"/>
        <v>2187306400</v>
      </c>
      <c r="T68" s="194" t="s">
        <v>84</v>
      </c>
      <c r="U68" s="24"/>
    </row>
    <row r="69" spans="1:21" s="20" customFormat="1" ht="15" customHeight="1" x14ac:dyDescent="0.25">
      <c r="A69" s="206" t="s">
        <v>162</v>
      </c>
      <c r="B69" s="207"/>
      <c r="C69" s="207"/>
      <c r="D69" s="212" t="s">
        <v>36</v>
      </c>
      <c r="E69" s="213"/>
      <c r="F69" s="213"/>
      <c r="G69" s="213"/>
      <c r="H69" s="213"/>
      <c r="I69" s="213"/>
      <c r="J69" s="213"/>
      <c r="K69" s="213"/>
      <c r="L69" s="214"/>
      <c r="M69" s="76"/>
      <c r="N69" s="26">
        <f>SUMIF($M$62:$M$68,D69,$N$62:$N$68)</f>
        <v>3500000</v>
      </c>
      <c r="O69" s="26">
        <f>SUMIF($M$62:$M$68,D69,$O$62:$O$68)</f>
        <v>3500000</v>
      </c>
      <c r="P69" s="26"/>
      <c r="Q69" s="26">
        <f>SUMIF($M$62:$M$68,D69,$Q$62:$Q$68)</f>
        <v>812000</v>
      </c>
      <c r="R69" s="26">
        <f>SUMIF($M$62:$M$68,D69,$R$62:$R$68)</f>
        <v>420405.42223114602</v>
      </c>
      <c r="S69" s="26">
        <f>SUMIF($M$62:$M$68,D69,$S$62:$S$68)</f>
        <v>2688000</v>
      </c>
      <c r="T69" s="188"/>
      <c r="U69" s="19"/>
    </row>
    <row r="70" spans="1:21" s="20" customFormat="1" ht="15" customHeight="1" x14ac:dyDescent="0.25">
      <c r="A70" s="208"/>
      <c r="B70" s="209"/>
      <c r="C70" s="209"/>
      <c r="D70" s="215" t="s">
        <v>3</v>
      </c>
      <c r="E70" s="216"/>
      <c r="F70" s="216"/>
      <c r="G70" s="216"/>
      <c r="H70" s="216"/>
      <c r="I70" s="216"/>
      <c r="J70" s="216"/>
      <c r="K70" s="216"/>
      <c r="L70" s="217"/>
      <c r="M70" s="77"/>
      <c r="N70" s="22">
        <f>SUMIF($M$62:$M$68,D70,$N$62:$N$68)</f>
        <v>80315196700</v>
      </c>
      <c r="O70" s="22">
        <f>SUMIF($M$62:$M$68,D70,$O$62:$O$68)</f>
        <v>80315196700</v>
      </c>
      <c r="P70" s="22"/>
      <c r="Q70" s="22">
        <f>SUMIF($M$62:$M$68,D70,$Q$62:$Q$68)</f>
        <v>62021242936.900017</v>
      </c>
      <c r="R70" s="22">
        <f>SUMIF($M$62:$M$68,D70,$R$62:$R$68)</f>
        <v>27999164468.360004</v>
      </c>
      <c r="S70" s="22">
        <f>SUMIF($M$62:$M$68,D70,$S$62:$S$68)</f>
        <v>18293953763.099983</v>
      </c>
      <c r="T70" s="189"/>
      <c r="U70" s="19"/>
    </row>
    <row r="71" spans="1:21" s="20" customFormat="1" ht="15" customHeight="1" x14ac:dyDescent="0.25">
      <c r="A71" s="208"/>
      <c r="B71" s="209"/>
      <c r="C71" s="209"/>
      <c r="D71" s="215" t="s">
        <v>58</v>
      </c>
      <c r="E71" s="216"/>
      <c r="F71" s="216"/>
      <c r="G71" s="216"/>
      <c r="H71" s="216"/>
      <c r="I71" s="216"/>
      <c r="J71" s="216"/>
      <c r="K71" s="216"/>
      <c r="L71" s="217"/>
      <c r="M71" s="77"/>
      <c r="N71" s="22">
        <f>SUMIF($M$62:$M$68,D71,$N$62:$N$68)</f>
        <v>4517937.9000000004</v>
      </c>
      <c r="O71" s="22">
        <f>SUMIF($M$62:$M$68,D71,$O$62:$O$68)</f>
        <v>4517937.9000000004</v>
      </c>
      <c r="P71" s="22"/>
      <c r="Q71" s="22">
        <f>SUMIF($M$62:$M$68,D71,$Q$62:$Q$68)</f>
        <v>1898193.7000000002</v>
      </c>
      <c r="R71" s="22">
        <f>SUMIF($M$62:$M$68,D71,$R$62:$R$68)</f>
        <v>4801806.0200000005</v>
      </c>
      <c r="S71" s="22">
        <f>SUMIF($M$62:$M$68,D71,$S$62:$S$68)</f>
        <v>2619744.1999999997</v>
      </c>
      <c r="T71" s="189"/>
      <c r="U71" s="19"/>
    </row>
    <row r="72" spans="1:21" s="20" customFormat="1" ht="15" customHeight="1" thickBot="1" x14ac:dyDescent="0.3">
      <c r="A72" s="210"/>
      <c r="B72" s="211"/>
      <c r="C72" s="211"/>
      <c r="D72" s="218" t="s">
        <v>79</v>
      </c>
      <c r="E72" s="219"/>
      <c r="F72" s="219"/>
      <c r="G72" s="219"/>
      <c r="H72" s="219"/>
      <c r="I72" s="219"/>
      <c r="J72" s="219"/>
      <c r="K72" s="219"/>
      <c r="L72" s="220"/>
      <c r="M72" s="78"/>
      <c r="N72" s="23">
        <f>SUMIF($M$62:$M$68,D72,$N$62:$N$68)</f>
        <v>0</v>
      </c>
      <c r="O72" s="23">
        <f>SUMIF($M$62:$M$68,D72,$O$62:$O$68)</f>
        <v>0</v>
      </c>
      <c r="P72" s="23"/>
      <c r="Q72" s="23">
        <f>SUMIF($M$62:$M$68,D72,$Q$62:$Q$68)</f>
        <v>0</v>
      </c>
      <c r="R72" s="23">
        <f>SUMIF($M$62:$M$68,D72,$R$62:$R$68)</f>
        <v>0</v>
      </c>
      <c r="S72" s="23">
        <f>SUMIF($M$62:$M$68,D72,$S$62:$S$68)</f>
        <v>0</v>
      </c>
      <c r="T72" s="193"/>
      <c r="U72" s="19"/>
    </row>
    <row r="73" spans="1:21" s="18" customFormat="1" ht="77.25" customHeight="1" outlineLevel="1" x14ac:dyDescent="0.25">
      <c r="A73" s="29">
        <v>41</v>
      </c>
      <c r="B73" s="47" t="s">
        <v>163</v>
      </c>
      <c r="C73" s="52" t="s">
        <v>164</v>
      </c>
      <c r="D73" s="29" t="s">
        <v>101</v>
      </c>
      <c r="E73" s="53"/>
      <c r="F73" s="53"/>
      <c r="G73" s="53"/>
      <c r="H73" s="53"/>
      <c r="I73" s="53"/>
      <c r="J73" s="53"/>
      <c r="K73" s="53" t="s">
        <v>365</v>
      </c>
      <c r="L73" s="53" t="s">
        <v>165</v>
      </c>
      <c r="M73" s="50" t="s">
        <v>58</v>
      </c>
      <c r="N73" s="51">
        <v>361332</v>
      </c>
      <c r="O73" s="51">
        <v>361332</v>
      </c>
      <c r="P73" s="54">
        <v>7.7700000000000005E-2</v>
      </c>
      <c r="Q73" s="51">
        <f>162402.753184719+8510000/490.37</f>
        <v>179756.99589940385</v>
      </c>
      <c r="R73" s="51">
        <v>187530</v>
      </c>
      <c r="S73" s="48">
        <f>O73-Q73</f>
        <v>181575.00410059615</v>
      </c>
      <c r="T73" s="183" t="s">
        <v>166</v>
      </c>
      <c r="U73" s="17"/>
    </row>
    <row r="74" spans="1:21" ht="64.5" customHeight="1" outlineLevel="1" x14ac:dyDescent="0.25">
      <c r="A74" s="29">
        <v>42</v>
      </c>
      <c r="B74" s="47" t="s">
        <v>167</v>
      </c>
      <c r="C74" s="52" t="s">
        <v>168</v>
      </c>
      <c r="D74" s="185" t="s">
        <v>127</v>
      </c>
      <c r="E74" s="46"/>
      <c r="F74" s="46"/>
      <c r="G74" s="46"/>
      <c r="H74" s="46"/>
      <c r="I74" s="46"/>
      <c r="J74" s="46"/>
      <c r="K74" s="55" t="s">
        <v>366</v>
      </c>
      <c r="L74" s="51" t="s">
        <v>169</v>
      </c>
      <c r="M74" s="50" t="s">
        <v>36</v>
      </c>
      <c r="N74" s="51">
        <v>8000000</v>
      </c>
      <c r="O74" s="51">
        <v>80000</v>
      </c>
      <c r="P74" s="54" t="s">
        <v>51</v>
      </c>
      <c r="Q74" s="51">
        <f>10909.09+3636.36+3636.36+1428217/392.76</f>
        <v>21818.170627355128</v>
      </c>
      <c r="R74" s="51">
        <f>105386.95+361.72+42360.02+4761284/392.76</f>
        <v>160231.31959568185</v>
      </c>
      <c r="S74" s="48">
        <f>O74-Q74</f>
        <v>58181.829372644876</v>
      </c>
      <c r="T74" s="183" t="s">
        <v>170</v>
      </c>
    </row>
    <row r="75" spans="1:21" ht="53.25" customHeight="1" outlineLevel="1" x14ac:dyDescent="0.25">
      <c r="A75" s="29">
        <v>43</v>
      </c>
      <c r="B75" s="47" t="s">
        <v>167</v>
      </c>
      <c r="C75" s="52" t="s">
        <v>171</v>
      </c>
      <c r="D75" s="185" t="s">
        <v>135</v>
      </c>
      <c r="E75" s="46"/>
      <c r="F75" s="46"/>
      <c r="G75" s="46"/>
      <c r="H75" s="46"/>
      <c r="I75" s="46"/>
      <c r="J75" s="46"/>
      <c r="K75" s="55" t="s">
        <v>367</v>
      </c>
      <c r="L75" s="51" t="s">
        <v>169</v>
      </c>
      <c r="M75" s="50" t="s">
        <v>36</v>
      </c>
      <c r="N75" s="51">
        <v>8000000</v>
      </c>
      <c r="O75" s="51"/>
      <c r="P75" s="54" t="s">
        <v>51</v>
      </c>
      <c r="Q75" s="51"/>
      <c r="R75" s="51"/>
      <c r="S75" s="48">
        <f>O75-Q75</f>
        <v>0</v>
      </c>
      <c r="T75" s="183" t="s">
        <v>170</v>
      </c>
    </row>
    <row r="76" spans="1:21" ht="53.25" customHeight="1" outlineLevel="1" x14ac:dyDescent="0.25">
      <c r="A76" s="229">
        <v>44</v>
      </c>
      <c r="B76" s="231" t="s">
        <v>172</v>
      </c>
      <c r="C76" s="224" t="s">
        <v>275</v>
      </c>
      <c r="D76" s="185"/>
      <c r="E76" s="46"/>
      <c r="F76" s="46"/>
      <c r="G76" s="46"/>
      <c r="H76" s="46"/>
      <c r="I76" s="46"/>
      <c r="J76" s="46"/>
      <c r="K76" s="55" t="s">
        <v>368</v>
      </c>
      <c r="L76" s="221" t="s">
        <v>303</v>
      </c>
      <c r="M76" s="50" t="s">
        <v>36</v>
      </c>
      <c r="N76" s="51">
        <v>5500000</v>
      </c>
      <c r="O76" s="51">
        <v>812833.71</v>
      </c>
      <c r="P76" s="54" t="s">
        <v>51</v>
      </c>
      <c r="Q76" s="51"/>
      <c r="R76" s="51"/>
      <c r="S76" s="48">
        <f t="shared" ref="S76:S82" si="5">O76-Q76</f>
        <v>812833.71</v>
      </c>
      <c r="T76" s="183" t="s">
        <v>84</v>
      </c>
    </row>
    <row r="77" spans="1:21" ht="53.25" customHeight="1" outlineLevel="1" x14ac:dyDescent="0.25">
      <c r="A77" s="230"/>
      <c r="B77" s="232"/>
      <c r="C77" s="233"/>
      <c r="D77" s="185"/>
      <c r="E77" s="46"/>
      <c r="F77" s="46"/>
      <c r="G77" s="46"/>
      <c r="H77" s="46"/>
      <c r="I77" s="46"/>
      <c r="J77" s="46"/>
      <c r="K77" s="55"/>
      <c r="L77" s="241"/>
      <c r="M77" s="49" t="s">
        <v>3</v>
      </c>
      <c r="N77" s="51">
        <v>92733053.200000003</v>
      </c>
      <c r="O77" s="51">
        <f>92733053.2+20276600+1679251+16492341.9+20399976.4</f>
        <v>151581222.5</v>
      </c>
      <c r="P77" s="54"/>
      <c r="Q77" s="51"/>
      <c r="R77" s="51"/>
      <c r="S77" s="48">
        <f t="shared" si="5"/>
        <v>151581222.5</v>
      </c>
      <c r="T77" s="183"/>
    </row>
    <row r="78" spans="1:21" ht="54" outlineLevel="1" x14ac:dyDescent="0.25">
      <c r="A78" s="29">
        <v>45</v>
      </c>
      <c r="B78" s="47" t="s">
        <v>173</v>
      </c>
      <c r="C78" s="52" t="s">
        <v>174</v>
      </c>
      <c r="D78" s="29" t="s">
        <v>122</v>
      </c>
      <c r="E78" s="46"/>
      <c r="F78" s="46"/>
      <c r="G78" s="46"/>
      <c r="H78" s="46"/>
      <c r="I78" s="46"/>
      <c r="J78" s="46"/>
      <c r="K78" s="55" t="s">
        <v>369</v>
      </c>
      <c r="L78" s="51" t="s">
        <v>175</v>
      </c>
      <c r="M78" s="49" t="s">
        <v>3</v>
      </c>
      <c r="N78" s="51">
        <v>249300000</v>
      </c>
      <c r="O78" s="51">
        <v>249300000</v>
      </c>
      <c r="P78" s="58">
        <v>1E-3</v>
      </c>
      <c r="Q78" s="51">
        <v>42881892.899999999</v>
      </c>
      <c r="R78" s="51">
        <v>528153.5</v>
      </c>
      <c r="S78" s="48">
        <f t="shared" si="5"/>
        <v>206418107.09999999</v>
      </c>
      <c r="T78" s="183" t="s">
        <v>84</v>
      </c>
    </row>
    <row r="79" spans="1:21" ht="84" customHeight="1" outlineLevel="1" x14ac:dyDescent="0.25">
      <c r="A79" s="29">
        <v>46</v>
      </c>
      <c r="B79" s="174" t="s">
        <v>116</v>
      </c>
      <c r="C79" s="172" t="s">
        <v>117</v>
      </c>
      <c r="D79" s="185" t="s">
        <v>109</v>
      </c>
      <c r="E79" s="46"/>
      <c r="F79" s="46"/>
      <c r="G79" s="46"/>
      <c r="H79" s="46"/>
      <c r="I79" s="46"/>
      <c r="J79" s="46"/>
      <c r="K79" s="173" t="s">
        <v>370</v>
      </c>
      <c r="L79" s="175" t="s">
        <v>118</v>
      </c>
      <c r="M79" s="50" t="s">
        <v>58</v>
      </c>
      <c r="N79" s="51">
        <v>4000000</v>
      </c>
      <c r="O79" s="51">
        <v>664584.16999999993</v>
      </c>
      <c r="P79" s="54" t="s">
        <v>51</v>
      </c>
      <c r="Q79" s="51">
        <v>387542.70385662862</v>
      </c>
      <c r="R79" s="51">
        <v>169439.98</v>
      </c>
      <c r="S79" s="153">
        <f>O79-Q79</f>
        <v>277041.4661433713</v>
      </c>
      <c r="T79" s="186" t="s">
        <v>119</v>
      </c>
    </row>
    <row r="80" spans="1:21" s="25" customFormat="1" ht="132.75" customHeight="1" outlineLevel="1" x14ac:dyDescent="0.2">
      <c r="A80" s="29">
        <v>47</v>
      </c>
      <c r="B80" s="47" t="s">
        <v>176</v>
      </c>
      <c r="C80" s="52" t="s">
        <v>142</v>
      </c>
      <c r="D80" s="184" t="s">
        <v>109</v>
      </c>
      <c r="E80" s="46" t="s">
        <v>3</v>
      </c>
      <c r="F80" s="46"/>
      <c r="G80" s="53"/>
      <c r="H80" s="53"/>
      <c r="I80" s="53"/>
      <c r="J80" s="53"/>
      <c r="K80" s="49" t="s">
        <v>371</v>
      </c>
      <c r="L80" s="49" t="s">
        <v>321</v>
      </c>
      <c r="M80" s="49" t="s">
        <v>3</v>
      </c>
      <c r="N80" s="83">
        <v>50600000</v>
      </c>
      <c r="O80" s="51">
        <v>50600000</v>
      </c>
      <c r="P80" s="47" t="s">
        <v>177</v>
      </c>
      <c r="Q80" s="51"/>
      <c r="R80" s="51"/>
      <c r="S80" s="83">
        <f t="shared" si="5"/>
        <v>50600000</v>
      </c>
      <c r="T80" s="183" t="s">
        <v>84</v>
      </c>
      <c r="U80" s="24"/>
    </row>
    <row r="81" spans="1:21" s="25" customFormat="1" ht="148.5" customHeight="1" outlineLevel="1" x14ac:dyDescent="0.2">
      <c r="A81" s="29">
        <v>48</v>
      </c>
      <c r="B81" s="47" t="s">
        <v>176</v>
      </c>
      <c r="C81" s="52" t="s">
        <v>142</v>
      </c>
      <c r="D81" s="184" t="s">
        <v>109</v>
      </c>
      <c r="E81" s="46" t="s">
        <v>3</v>
      </c>
      <c r="F81" s="46"/>
      <c r="G81" s="46"/>
      <c r="H81" s="46"/>
      <c r="I81" s="46"/>
      <c r="J81" s="46"/>
      <c r="K81" s="49" t="s">
        <v>372</v>
      </c>
      <c r="L81" s="49" t="s">
        <v>322</v>
      </c>
      <c r="M81" s="53" t="s">
        <v>3</v>
      </c>
      <c r="N81" s="83">
        <v>1100000000</v>
      </c>
      <c r="O81" s="51">
        <v>1100000000</v>
      </c>
      <c r="P81" s="47" t="s">
        <v>177</v>
      </c>
      <c r="Q81" s="51"/>
      <c r="R81" s="51"/>
      <c r="S81" s="83">
        <f t="shared" si="5"/>
        <v>1100000000</v>
      </c>
      <c r="T81" s="236" t="s">
        <v>278</v>
      </c>
      <c r="U81" s="24"/>
    </row>
    <row r="82" spans="1:21" s="25" customFormat="1" ht="148.5" customHeight="1" outlineLevel="1" x14ac:dyDescent="0.2">
      <c r="A82" s="29">
        <v>49</v>
      </c>
      <c r="B82" s="47" t="s">
        <v>176</v>
      </c>
      <c r="C82" s="52" t="s">
        <v>142</v>
      </c>
      <c r="D82" s="184" t="s">
        <v>109</v>
      </c>
      <c r="E82" s="46" t="s">
        <v>3</v>
      </c>
      <c r="F82" s="46"/>
      <c r="G82" s="46"/>
      <c r="H82" s="46"/>
      <c r="I82" s="46"/>
      <c r="J82" s="46"/>
      <c r="K82" s="49" t="s">
        <v>373</v>
      </c>
      <c r="L82" s="49" t="s">
        <v>323</v>
      </c>
      <c r="M82" s="53" t="s">
        <v>3</v>
      </c>
      <c r="N82" s="83">
        <v>792386600</v>
      </c>
      <c r="O82" s="51">
        <v>791031693</v>
      </c>
      <c r="P82" s="47" t="s">
        <v>177</v>
      </c>
      <c r="Q82" s="51"/>
      <c r="R82" s="51"/>
      <c r="S82" s="83">
        <f t="shared" si="5"/>
        <v>791031693</v>
      </c>
      <c r="T82" s="237"/>
      <c r="U82" s="24"/>
    </row>
    <row r="83" spans="1:21" s="25" customFormat="1" ht="148.5" customHeight="1" outlineLevel="1" x14ac:dyDescent="0.2">
      <c r="A83" s="29">
        <v>50</v>
      </c>
      <c r="B83" s="47" t="s">
        <v>176</v>
      </c>
      <c r="C83" s="52" t="s">
        <v>142</v>
      </c>
      <c r="D83" s="184" t="s">
        <v>109</v>
      </c>
      <c r="E83" s="46" t="s">
        <v>3</v>
      </c>
      <c r="F83" s="46"/>
      <c r="G83" s="46"/>
      <c r="H83" s="46"/>
      <c r="I83" s="46"/>
      <c r="J83" s="46"/>
      <c r="K83" s="49" t="s">
        <v>374</v>
      </c>
      <c r="L83" s="49" t="s">
        <v>324</v>
      </c>
      <c r="M83" s="53" t="s">
        <v>3</v>
      </c>
      <c r="N83" s="83">
        <v>254672300</v>
      </c>
      <c r="O83" s="51">
        <f>168444408+75498000+5196300+5196300</f>
        <v>254335008</v>
      </c>
      <c r="P83" s="47" t="s">
        <v>177</v>
      </c>
      <c r="Q83" s="51"/>
      <c r="R83" s="51"/>
      <c r="S83" s="83">
        <f>O83-Q83</f>
        <v>254335008</v>
      </c>
      <c r="T83" s="238"/>
      <c r="U83" s="24"/>
    </row>
    <row r="84" spans="1:21" s="25" customFormat="1" ht="60.75" customHeight="1" outlineLevel="1" x14ac:dyDescent="0.2">
      <c r="A84" s="29">
        <v>51</v>
      </c>
      <c r="B84" s="47" t="s">
        <v>178</v>
      </c>
      <c r="C84" s="52" t="s">
        <v>142</v>
      </c>
      <c r="D84" s="184" t="s">
        <v>122</v>
      </c>
      <c r="E84" s="46" t="s">
        <v>3</v>
      </c>
      <c r="F84" s="46"/>
      <c r="G84" s="46"/>
      <c r="H84" s="46"/>
      <c r="I84" s="46"/>
      <c r="J84" s="46"/>
      <c r="K84" s="49" t="s">
        <v>375</v>
      </c>
      <c r="L84" s="49" t="s">
        <v>179</v>
      </c>
      <c r="M84" s="53" t="s">
        <v>3</v>
      </c>
      <c r="N84" s="83">
        <v>88731015</v>
      </c>
      <c r="O84" s="51">
        <v>88731000</v>
      </c>
      <c r="P84" s="85">
        <v>8.5000000000000006E-2</v>
      </c>
      <c r="Q84" s="51"/>
      <c r="R84" s="51">
        <v>1591081</v>
      </c>
      <c r="S84" s="83">
        <f t="shared" ref="S84:S96" si="6">O84-Q84</f>
        <v>88731000</v>
      </c>
      <c r="T84" s="194" t="s">
        <v>180</v>
      </c>
      <c r="U84" s="24"/>
    </row>
    <row r="85" spans="1:21" s="25" customFormat="1" ht="77.25" customHeight="1" outlineLevel="1" x14ac:dyDescent="0.2">
      <c r="A85" s="29">
        <v>52</v>
      </c>
      <c r="B85" s="47" t="s">
        <v>181</v>
      </c>
      <c r="C85" s="52" t="s">
        <v>182</v>
      </c>
      <c r="D85" s="184" t="s">
        <v>122</v>
      </c>
      <c r="E85" s="46" t="s">
        <v>3</v>
      </c>
      <c r="F85" s="46"/>
      <c r="G85" s="46"/>
      <c r="H85" s="46"/>
      <c r="I85" s="46"/>
      <c r="J85" s="46"/>
      <c r="K85" s="49" t="s">
        <v>376</v>
      </c>
      <c r="L85" s="49" t="s">
        <v>183</v>
      </c>
      <c r="M85" s="53" t="s">
        <v>3</v>
      </c>
      <c r="N85" s="83">
        <v>3840000000</v>
      </c>
      <c r="O85" s="51">
        <v>3840000000</v>
      </c>
      <c r="P85" s="86">
        <v>1.0000000000000001E-5</v>
      </c>
      <c r="Q85" s="51">
        <v>3484641868</v>
      </c>
      <c r="R85" s="51">
        <v>37169</v>
      </c>
      <c r="S85" s="83">
        <f t="shared" si="6"/>
        <v>355358132</v>
      </c>
      <c r="T85" s="194" t="s">
        <v>84</v>
      </c>
      <c r="U85" s="24"/>
    </row>
    <row r="86" spans="1:21" ht="94.5" outlineLevel="1" x14ac:dyDescent="0.25">
      <c r="A86" s="29">
        <v>53</v>
      </c>
      <c r="B86" s="87" t="s">
        <v>184</v>
      </c>
      <c r="C86" s="137" t="s">
        <v>182</v>
      </c>
      <c r="D86" s="139" t="s">
        <v>152</v>
      </c>
      <c r="E86" s="135"/>
      <c r="F86" s="135"/>
      <c r="G86" s="135"/>
      <c r="H86" s="135"/>
      <c r="I86" s="135"/>
      <c r="J86" s="135"/>
      <c r="K86" s="53" t="s">
        <v>377</v>
      </c>
      <c r="L86" s="53" t="s">
        <v>185</v>
      </c>
      <c r="M86" s="53" t="s">
        <v>58</v>
      </c>
      <c r="N86" s="88">
        <v>8944984.0899999999</v>
      </c>
      <c r="O86" s="51">
        <v>8944984.0899999999</v>
      </c>
      <c r="P86" s="89">
        <v>7.4999999999999997E-3</v>
      </c>
      <c r="Q86" s="51">
        <v>2274148.4999999995</v>
      </c>
      <c r="R86" s="51">
        <v>881276.03</v>
      </c>
      <c r="S86" s="48">
        <f t="shared" si="6"/>
        <v>6670835.5899999999</v>
      </c>
      <c r="T86" s="186" t="s">
        <v>84</v>
      </c>
    </row>
    <row r="87" spans="1:21" ht="63" customHeight="1" outlineLevel="1" x14ac:dyDescent="0.25">
      <c r="A87" s="239">
        <v>54</v>
      </c>
      <c r="B87" s="231" t="s">
        <v>186</v>
      </c>
      <c r="C87" s="224" t="s">
        <v>182</v>
      </c>
      <c r="D87" s="229" t="s">
        <v>152</v>
      </c>
      <c r="E87" s="135"/>
      <c r="F87" s="135"/>
      <c r="G87" s="135"/>
      <c r="H87" s="135"/>
      <c r="I87" s="135"/>
      <c r="J87" s="135"/>
      <c r="K87" s="221" t="s">
        <v>378</v>
      </c>
      <c r="L87" s="53" t="s">
        <v>187</v>
      </c>
      <c r="M87" s="53" t="s">
        <v>3</v>
      </c>
      <c r="N87" s="88">
        <v>93025000</v>
      </c>
      <c r="O87" s="51">
        <v>93025000</v>
      </c>
      <c r="P87" s="89">
        <v>7.4999999999999997E-3</v>
      </c>
      <c r="Q87" s="51">
        <v>13023500</v>
      </c>
      <c r="R87" s="51">
        <v>8639616.2799999993</v>
      </c>
      <c r="S87" s="48">
        <f t="shared" si="6"/>
        <v>80001500</v>
      </c>
      <c r="T87" s="227" t="s">
        <v>84</v>
      </c>
    </row>
    <row r="88" spans="1:21" ht="63" customHeight="1" outlineLevel="1" x14ac:dyDescent="0.25">
      <c r="A88" s="240"/>
      <c r="B88" s="232"/>
      <c r="C88" s="233"/>
      <c r="D88" s="230"/>
      <c r="E88" s="135"/>
      <c r="F88" s="135"/>
      <c r="G88" s="135"/>
      <c r="H88" s="135"/>
      <c r="I88" s="135"/>
      <c r="J88" s="135"/>
      <c r="K88" s="241"/>
      <c r="L88" s="53" t="s">
        <v>187</v>
      </c>
      <c r="M88" s="53" t="s">
        <v>58</v>
      </c>
      <c r="N88" s="88">
        <v>5217725</v>
      </c>
      <c r="O88" s="51">
        <v>5217725</v>
      </c>
      <c r="P88" s="89">
        <v>7.4999999999999997E-3</v>
      </c>
      <c r="Q88" s="51">
        <v>730481.25</v>
      </c>
      <c r="R88" s="51">
        <v>505356.93000000011</v>
      </c>
      <c r="S88" s="48">
        <f t="shared" si="6"/>
        <v>4487243.75</v>
      </c>
      <c r="T88" s="228"/>
    </row>
    <row r="89" spans="1:21" ht="94.5" outlineLevel="1" x14ac:dyDescent="0.25">
      <c r="A89" s="90">
        <v>55</v>
      </c>
      <c r="B89" s="87" t="s">
        <v>188</v>
      </c>
      <c r="C89" s="137" t="s">
        <v>182</v>
      </c>
      <c r="D89" s="139" t="s">
        <v>152</v>
      </c>
      <c r="E89" s="135"/>
      <c r="F89" s="135"/>
      <c r="G89" s="135"/>
      <c r="H89" s="135"/>
      <c r="I89" s="135"/>
      <c r="J89" s="135"/>
      <c r="K89" s="53" t="s">
        <v>379</v>
      </c>
      <c r="L89" s="53" t="s">
        <v>189</v>
      </c>
      <c r="M89" s="53" t="s">
        <v>58</v>
      </c>
      <c r="N89" s="88">
        <v>1989000</v>
      </c>
      <c r="O89" s="51">
        <v>1989000</v>
      </c>
      <c r="P89" s="89">
        <v>7.4999999999999997E-3</v>
      </c>
      <c r="Q89" s="51">
        <v>303406.87999999995</v>
      </c>
      <c r="R89" s="51">
        <v>164634.31</v>
      </c>
      <c r="S89" s="48">
        <f t="shared" si="6"/>
        <v>1685593.12</v>
      </c>
      <c r="T89" s="186" t="s">
        <v>84</v>
      </c>
    </row>
    <row r="90" spans="1:21" ht="108" customHeight="1" outlineLevel="1" x14ac:dyDescent="0.25">
      <c r="A90" s="90">
        <v>56</v>
      </c>
      <c r="B90" s="87" t="s">
        <v>325</v>
      </c>
      <c r="C90" s="137" t="s">
        <v>326</v>
      </c>
      <c r="D90" s="139" t="s">
        <v>152</v>
      </c>
      <c r="E90" s="135" t="s">
        <v>403</v>
      </c>
      <c r="F90" s="135">
        <v>2190000</v>
      </c>
      <c r="G90" s="135"/>
      <c r="H90" s="135"/>
      <c r="I90" s="135"/>
      <c r="J90" s="135"/>
      <c r="K90" s="135" t="s">
        <v>380</v>
      </c>
      <c r="L90" s="135" t="s">
        <v>327</v>
      </c>
      <c r="M90" s="53" t="s">
        <v>3</v>
      </c>
      <c r="N90" s="88">
        <v>2047212646</v>
      </c>
      <c r="O90" s="147">
        <v>2047212646</v>
      </c>
      <c r="P90" s="89">
        <v>0.02</v>
      </c>
      <c r="Q90" s="51">
        <v>0</v>
      </c>
      <c r="R90" s="51">
        <v>88017538.400000006</v>
      </c>
      <c r="S90" s="48">
        <v>2047212646</v>
      </c>
      <c r="T90" s="186" t="s">
        <v>84</v>
      </c>
    </row>
    <row r="91" spans="1:21" ht="153.75" customHeight="1" outlineLevel="1" x14ac:dyDescent="0.25">
      <c r="A91" s="91">
        <v>57</v>
      </c>
      <c r="B91" s="87" t="s">
        <v>190</v>
      </c>
      <c r="C91" s="137" t="s">
        <v>191</v>
      </c>
      <c r="D91" s="139" t="s">
        <v>101</v>
      </c>
      <c r="E91" s="135"/>
      <c r="F91" s="135"/>
      <c r="G91" s="135"/>
      <c r="H91" s="135"/>
      <c r="I91" s="135"/>
      <c r="J91" s="135"/>
      <c r="K91" s="135" t="s">
        <v>381</v>
      </c>
      <c r="L91" s="135" t="s">
        <v>192</v>
      </c>
      <c r="M91" s="53" t="s">
        <v>58</v>
      </c>
      <c r="N91" s="88">
        <v>2217000</v>
      </c>
      <c r="O91" s="88">
        <v>2217000</v>
      </c>
      <c r="P91" s="92">
        <v>0.02</v>
      </c>
      <c r="Q91" s="51">
        <v>1656550.78</v>
      </c>
      <c r="R91" s="51">
        <v>108750.1203452351</v>
      </c>
      <c r="S91" s="48">
        <v>1010837.1</v>
      </c>
      <c r="T91" s="186" t="s">
        <v>193</v>
      </c>
    </row>
    <row r="92" spans="1:21" ht="123" customHeight="1" outlineLevel="1" x14ac:dyDescent="0.25">
      <c r="A92" s="53">
        <v>58</v>
      </c>
      <c r="B92" s="47" t="s">
        <v>314</v>
      </c>
      <c r="C92" s="52" t="s">
        <v>315</v>
      </c>
      <c r="D92" s="29" t="s">
        <v>316</v>
      </c>
      <c r="E92" s="53" t="s">
        <v>36</v>
      </c>
      <c r="F92" s="53">
        <v>20000000</v>
      </c>
      <c r="G92" s="53">
        <v>4199559.68</v>
      </c>
      <c r="H92" s="53" t="s">
        <v>318</v>
      </c>
      <c r="I92" s="53"/>
      <c r="J92" s="53"/>
      <c r="K92" s="53" t="s">
        <v>382</v>
      </c>
      <c r="L92" s="135" t="s">
        <v>317</v>
      </c>
      <c r="M92" s="53" t="s">
        <v>36</v>
      </c>
      <c r="N92" s="88">
        <v>4199559.68</v>
      </c>
      <c r="O92" s="88">
        <v>4199559.68</v>
      </c>
      <c r="P92" s="92" t="s">
        <v>318</v>
      </c>
      <c r="Q92" s="51"/>
      <c r="R92" s="51">
        <f>30567101.5/393.99+105702/396.73</f>
        <v>77849.878101809649</v>
      </c>
      <c r="S92" s="48">
        <v>4199559.68</v>
      </c>
      <c r="T92" s="186" t="s">
        <v>319</v>
      </c>
    </row>
    <row r="93" spans="1:21" s="25" customFormat="1" ht="52.5" customHeight="1" outlineLevel="1" x14ac:dyDescent="0.2">
      <c r="A93" s="229">
        <v>59</v>
      </c>
      <c r="B93" s="231" t="s">
        <v>194</v>
      </c>
      <c r="C93" s="224" t="s">
        <v>195</v>
      </c>
      <c r="D93" s="229"/>
      <c r="E93" s="157" t="s">
        <v>58</v>
      </c>
      <c r="F93" s="157"/>
      <c r="G93" s="157"/>
      <c r="H93" s="157"/>
      <c r="I93" s="157"/>
      <c r="J93" s="157"/>
      <c r="K93" s="234" t="s">
        <v>383</v>
      </c>
      <c r="L93" s="234" t="s">
        <v>196</v>
      </c>
      <c r="M93" s="50" t="s">
        <v>58</v>
      </c>
      <c r="N93" s="83">
        <v>237758.39</v>
      </c>
      <c r="O93" s="51">
        <v>237758.39</v>
      </c>
      <c r="P93" s="58"/>
      <c r="Q93" s="51"/>
      <c r="R93" s="51"/>
      <c r="S93" s="83">
        <f>O93-Q93</f>
        <v>237758.39</v>
      </c>
      <c r="T93" s="227" t="s">
        <v>84</v>
      </c>
      <c r="U93" s="24"/>
    </row>
    <row r="94" spans="1:21" s="25" customFormat="1" ht="52.5" customHeight="1" outlineLevel="1" x14ac:dyDescent="0.2">
      <c r="A94" s="230"/>
      <c r="B94" s="232"/>
      <c r="C94" s="233"/>
      <c r="D94" s="230"/>
      <c r="E94" s="156"/>
      <c r="F94" s="156"/>
      <c r="G94" s="156"/>
      <c r="H94" s="156"/>
      <c r="I94" s="156"/>
      <c r="J94" s="156"/>
      <c r="K94" s="235"/>
      <c r="L94" s="235"/>
      <c r="M94" s="150" t="s">
        <v>3</v>
      </c>
      <c r="N94" s="93">
        <v>28883700</v>
      </c>
      <c r="O94" s="51">
        <v>28883700</v>
      </c>
      <c r="P94" s="149"/>
      <c r="Q94" s="51"/>
      <c r="R94" s="51"/>
      <c r="S94" s="83">
        <f>O94-Q94</f>
        <v>28883700</v>
      </c>
      <c r="T94" s="228"/>
      <c r="U94" s="24"/>
    </row>
    <row r="95" spans="1:21" s="18" customFormat="1" ht="83.25" customHeight="1" outlineLevel="1" x14ac:dyDescent="0.25">
      <c r="A95" s="66">
        <v>60</v>
      </c>
      <c r="B95" s="87" t="s">
        <v>120</v>
      </c>
      <c r="C95" s="137" t="s">
        <v>121</v>
      </c>
      <c r="D95" s="139" t="s">
        <v>122</v>
      </c>
      <c r="E95" s="135"/>
      <c r="F95" s="135"/>
      <c r="G95" s="135"/>
      <c r="H95" s="135"/>
      <c r="I95" s="135"/>
      <c r="J95" s="135"/>
      <c r="K95" s="135" t="s">
        <v>384</v>
      </c>
      <c r="L95" s="135" t="s">
        <v>123</v>
      </c>
      <c r="M95" s="135" t="s">
        <v>3</v>
      </c>
      <c r="N95" s="147">
        <v>303444194</v>
      </c>
      <c r="O95" s="51">
        <v>303444194</v>
      </c>
      <c r="P95" s="149">
        <v>0</v>
      </c>
      <c r="Q95" s="51"/>
      <c r="R95" s="51"/>
      <c r="S95" s="153">
        <f>O95-Q95</f>
        <v>303444194</v>
      </c>
      <c r="T95" s="186" t="s">
        <v>84</v>
      </c>
      <c r="U95" s="17"/>
    </row>
    <row r="96" spans="1:21" s="18" customFormat="1" ht="91.5" customHeight="1" outlineLevel="1" x14ac:dyDescent="0.25">
      <c r="A96" s="29">
        <v>61</v>
      </c>
      <c r="B96" s="53" t="s">
        <v>197</v>
      </c>
      <c r="C96" s="52" t="s">
        <v>198</v>
      </c>
      <c r="D96" s="29" t="s">
        <v>199</v>
      </c>
      <c r="E96" s="53" t="s">
        <v>58</v>
      </c>
      <c r="F96" s="53"/>
      <c r="G96" s="53"/>
      <c r="H96" s="53"/>
      <c r="I96" s="53"/>
      <c r="J96" s="53"/>
      <c r="K96" s="80" t="s">
        <v>385</v>
      </c>
      <c r="L96" s="53" t="s">
        <v>200</v>
      </c>
      <c r="M96" s="53" t="s">
        <v>58</v>
      </c>
      <c r="N96" s="51">
        <v>10000000</v>
      </c>
      <c r="O96" s="51">
        <v>10000000</v>
      </c>
      <c r="P96" s="54" t="s">
        <v>201</v>
      </c>
      <c r="Q96" s="51">
        <v>2553676.86</v>
      </c>
      <c r="R96" s="51">
        <f>3533579.15874841+18816925/512.41+16022937.4/426.85+37537.63</f>
        <v>3645376.8188604596</v>
      </c>
      <c r="S96" s="48">
        <f t="shared" si="6"/>
        <v>7446323.1400000006</v>
      </c>
      <c r="T96" s="183" t="s">
        <v>202</v>
      </c>
      <c r="U96" s="17"/>
    </row>
    <row r="97" spans="1:22" s="18" customFormat="1" ht="91.5" customHeight="1" outlineLevel="1" thickBot="1" x14ac:dyDescent="0.3">
      <c r="A97" s="29">
        <v>62</v>
      </c>
      <c r="B97" s="53" t="s">
        <v>197</v>
      </c>
      <c r="C97" s="52" t="s">
        <v>142</v>
      </c>
      <c r="D97" s="29" t="s">
        <v>199</v>
      </c>
      <c r="E97" s="53"/>
      <c r="F97" s="53"/>
      <c r="G97" s="53"/>
      <c r="H97" s="53"/>
      <c r="I97" s="53"/>
      <c r="J97" s="53"/>
      <c r="K97" s="80" t="s">
        <v>386</v>
      </c>
      <c r="L97" s="53" t="s">
        <v>203</v>
      </c>
      <c r="M97" s="53" t="s">
        <v>3</v>
      </c>
      <c r="N97" s="51">
        <v>8000000000</v>
      </c>
      <c r="O97" s="51">
        <v>8000000000</v>
      </c>
      <c r="P97" s="54" t="s">
        <v>204</v>
      </c>
      <c r="Q97" s="51"/>
      <c r="R97" s="51">
        <f>3496438357+79342466+80657534</f>
        <v>3656438357</v>
      </c>
      <c r="S97" s="48">
        <f>O97-Q97</f>
        <v>8000000000</v>
      </c>
      <c r="T97" s="183" t="s">
        <v>205</v>
      </c>
      <c r="U97" s="17"/>
    </row>
    <row r="98" spans="1:22" s="20" customFormat="1" ht="24.75" customHeight="1" x14ac:dyDescent="0.25">
      <c r="A98" s="206" t="s">
        <v>206</v>
      </c>
      <c r="B98" s="207"/>
      <c r="C98" s="207"/>
      <c r="D98" s="212" t="s">
        <v>36</v>
      </c>
      <c r="E98" s="213"/>
      <c r="F98" s="213"/>
      <c r="G98" s="213"/>
      <c r="H98" s="213"/>
      <c r="I98" s="213"/>
      <c r="J98" s="213"/>
      <c r="K98" s="213"/>
      <c r="L98" s="214"/>
      <c r="M98" s="94"/>
      <c r="N98" s="26">
        <f>SUMIF($M$73:$M$97,D98,$N$73:$N$97)</f>
        <v>25699559.68</v>
      </c>
      <c r="O98" s="26">
        <f>SUMIF($M$73:$M$97,D98,$O$73:$O$97)</f>
        <v>5092393.3899999997</v>
      </c>
      <c r="P98" s="26"/>
      <c r="Q98" s="26">
        <f>SUMIF($M$73:$M$97,D98,$Q$73:$Q$97)</f>
        <v>21818.170627355128</v>
      </c>
      <c r="R98" s="26">
        <f>SUMIF($M$73:$M$97,D98,$R$73:$R$97)</f>
        <v>238081.1976974915</v>
      </c>
      <c r="S98" s="26">
        <f>SUMIF($M$73:$M$97,D98,$S$73:$S$97)</f>
        <v>5070575.219372645</v>
      </c>
      <c r="T98" s="188"/>
      <c r="U98" s="19"/>
    </row>
    <row r="99" spans="1:22" s="20" customFormat="1" ht="39" customHeight="1" x14ac:dyDescent="0.25">
      <c r="A99" s="208"/>
      <c r="B99" s="209"/>
      <c r="C99" s="209"/>
      <c r="D99" s="215" t="s">
        <v>3</v>
      </c>
      <c r="E99" s="216"/>
      <c r="F99" s="216"/>
      <c r="G99" s="216"/>
      <c r="H99" s="216"/>
      <c r="I99" s="216"/>
      <c r="J99" s="216"/>
      <c r="K99" s="216"/>
      <c r="L99" s="217"/>
      <c r="M99" s="77"/>
      <c r="N99" s="22">
        <f>SUMIF($M$73:$M$97,D99,$N$73:$N$97)</f>
        <v>16940988508.200001</v>
      </c>
      <c r="O99" s="22">
        <f>SUMIF($M$73:$M$97,D99,$O$73:$O$97)</f>
        <v>16998144463.5</v>
      </c>
      <c r="P99" s="22"/>
      <c r="Q99" s="22">
        <f>SUMIF($M$73:$M$97,D99,$Q$73:$Q$97)</f>
        <v>3540547260.9000001</v>
      </c>
      <c r="R99" s="22">
        <f>SUMIF($M$73:$M$97,D99,$R$73:$R$97)</f>
        <v>3755251915.1799998</v>
      </c>
      <c r="S99" s="22">
        <f>SUMIF($M$73:$M$97,D99,$S$73:$S$97)</f>
        <v>13457597202.6</v>
      </c>
      <c r="T99" s="189"/>
      <c r="U99" s="19"/>
    </row>
    <row r="100" spans="1:22" s="20" customFormat="1" ht="39" customHeight="1" x14ac:dyDescent="0.25">
      <c r="A100" s="208"/>
      <c r="B100" s="209"/>
      <c r="C100" s="209"/>
      <c r="D100" s="215" t="s">
        <v>58</v>
      </c>
      <c r="E100" s="216"/>
      <c r="F100" s="216"/>
      <c r="G100" s="216"/>
      <c r="H100" s="216"/>
      <c r="I100" s="216"/>
      <c r="J100" s="216"/>
      <c r="K100" s="216"/>
      <c r="L100" s="217"/>
      <c r="M100" s="77"/>
      <c r="N100" s="22">
        <f>SUMIF($M$73:$M$97,D100,$N$73:$N$97)</f>
        <v>32967799.48</v>
      </c>
      <c r="O100" s="22">
        <f>SUMIF($M$73:$M$97,D100,$O$73:$O$97)</f>
        <v>29632383.649999999</v>
      </c>
      <c r="P100" s="22"/>
      <c r="Q100" s="22">
        <f>SUMIF($M$73:$M$97,D100,$Q$73:$Q$97)</f>
        <v>8085563.9697560314</v>
      </c>
      <c r="R100" s="22">
        <f>SUMIF($M$73:$M$97,D100,$R$73:$R$97)</f>
        <v>5662364.1892056949</v>
      </c>
      <c r="S100" s="22">
        <f>SUMIF($M$73:$M$97,D100,$S$73:$S$97)</f>
        <v>21997207.560243972</v>
      </c>
      <c r="T100" s="189"/>
      <c r="U100" s="19"/>
    </row>
    <row r="101" spans="1:22" s="20" customFormat="1" ht="39" customHeight="1" thickBot="1" x14ac:dyDescent="0.3">
      <c r="A101" s="210"/>
      <c r="B101" s="211"/>
      <c r="C101" s="211"/>
      <c r="D101" s="218" t="s">
        <v>79</v>
      </c>
      <c r="E101" s="219"/>
      <c r="F101" s="219"/>
      <c r="G101" s="219"/>
      <c r="H101" s="219"/>
      <c r="I101" s="219"/>
      <c r="J101" s="219"/>
      <c r="K101" s="219"/>
      <c r="L101" s="220"/>
      <c r="M101" s="78"/>
      <c r="N101" s="23">
        <f>SUMIF($M$73:$M$97,D101,$N$73:$N$97)</f>
        <v>0</v>
      </c>
      <c r="O101" s="23">
        <f>SUMIF($M$73:$M$97,D101,$O$73:$O$97)</f>
        <v>0</v>
      </c>
      <c r="P101" s="23"/>
      <c r="Q101" s="23">
        <f>SUMIF($M$73:$M$97,D101,$Q$73:$Q$97)</f>
        <v>0</v>
      </c>
      <c r="R101" s="23">
        <f>SUMIF($M$73:$M$97,D101,$R$73:$R$97)</f>
        <v>0</v>
      </c>
      <c r="S101" s="23">
        <f>SUMIF($M$73:$M$97,D101,$S$73:$S$97)</f>
        <v>0</v>
      </c>
      <c r="T101" s="193"/>
      <c r="U101" s="19"/>
    </row>
    <row r="102" spans="1:22" s="25" customFormat="1" ht="156.75" customHeight="1" outlineLevel="1" x14ac:dyDescent="0.2">
      <c r="A102" s="29">
        <v>63</v>
      </c>
      <c r="B102" s="67" t="s">
        <v>0</v>
      </c>
      <c r="C102" s="137" t="s">
        <v>1</v>
      </c>
      <c r="D102" s="139"/>
      <c r="E102" s="156"/>
      <c r="F102" s="156"/>
      <c r="G102" s="156"/>
      <c r="H102" s="156"/>
      <c r="I102" s="156"/>
      <c r="J102" s="156"/>
      <c r="K102" s="143" t="s">
        <v>387</v>
      </c>
      <c r="L102" s="143" t="s">
        <v>207</v>
      </c>
      <c r="M102" s="53" t="s">
        <v>3</v>
      </c>
      <c r="N102" s="93">
        <f>3047000000+3000000000</f>
        <v>6047000000</v>
      </c>
      <c r="O102" s="60">
        <v>6000000000</v>
      </c>
      <c r="P102" s="149"/>
      <c r="Q102" s="60">
        <f>4439902959+260956717.5+995441267.7+73262192.2+103703140+88648827.6+23704487.9</f>
        <v>5985619591.8999996</v>
      </c>
      <c r="R102" s="60"/>
      <c r="S102" s="147">
        <f>O102-Q102</f>
        <v>14380408.100000381</v>
      </c>
      <c r="T102" s="195" t="s">
        <v>84</v>
      </c>
      <c r="U102" s="24"/>
    </row>
    <row r="103" spans="1:22" s="25" customFormat="1" ht="135" outlineLevel="1" x14ac:dyDescent="0.2">
      <c r="A103" s="29">
        <v>64</v>
      </c>
      <c r="B103" s="67" t="s">
        <v>4</v>
      </c>
      <c r="C103" s="137" t="s">
        <v>5</v>
      </c>
      <c r="D103" s="139"/>
      <c r="E103" s="156"/>
      <c r="F103" s="156"/>
      <c r="G103" s="156"/>
      <c r="H103" s="156"/>
      <c r="I103" s="156"/>
      <c r="J103" s="156"/>
      <c r="K103" s="143"/>
      <c r="L103" s="143" t="s">
        <v>18</v>
      </c>
      <c r="M103" s="53" t="s">
        <v>3</v>
      </c>
      <c r="N103" s="51">
        <f>2000000000+7300000000</f>
        <v>9300000000</v>
      </c>
      <c r="O103" s="60">
        <f>9024295000</f>
        <v>9024295000</v>
      </c>
      <c r="P103" s="149" t="s">
        <v>208</v>
      </c>
      <c r="Q103" s="60">
        <f>140537000+5009140+4849511288.30001+293553946.6+277518975.4+298090130.9+261563425.9+273040297.9+246795505.7+231942835.5</f>
        <v>6877562546.2000084</v>
      </c>
      <c r="R103" s="60">
        <f>34040214.6+16030636.8</f>
        <v>50070851.400000006</v>
      </c>
      <c r="S103" s="147">
        <f>O103-Q103</f>
        <v>2146732453.7999916</v>
      </c>
      <c r="T103" s="195" t="s">
        <v>84</v>
      </c>
      <c r="U103" s="24"/>
    </row>
    <row r="104" spans="1:22" s="25" customFormat="1" ht="175.5" outlineLevel="1" x14ac:dyDescent="0.2">
      <c r="A104" s="29">
        <v>65</v>
      </c>
      <c r="B104" s="67" t="s">
        <v>4</v>
      </c>
      <c r="C104" s="137" t="s">
        <v>7</v>
      </c>
      <c r="D104" s="139"/>
      <c r="E104" s="156"/>
      <c r="F104" s="156"/>
      <c r="G104" s="156"/>
      <c r="H104" s="156"/>
      <c r="I104" s="156"/>
      <c r="J104" s="156"/>
      <c r="K104" s="143" t="s">
        <v>388</v>
      </c>
      <c r="L104" s="143" t="s">
        <v>8</v>
      </c>
      <c r="M104" s="53" t="s">
        <v>3</v>
      </c>
      <c r="N104" s="51">
        <v>562500000</v>
      </c>
      <c r="O104" s="60">
        <v>562500000</v>
      </c>
      <c r="P104" s="149"/>
      <c r="Q104" s="60"/>
      <c r="R104" s="60"/>
      <c r="S104" s="153">
        <f t="shared" ref="S104:S124" si="7">O104-Q104</f>
        <v>562500000</v>
      </c>
      <c r="T104" s="195" t="s">
        <v>84</v>
      </c>
      <c r="U104" s="24"/>
    </row>
    <row r="105" spans="1:22" s="25" customFormat="1" ht="147" customHeight="1" outlineLevel="1" x14ac:dyDescent="0.2">
      <c r="A105" s="29">
        <v>66</v>
      </c>
      <c r="B105" s="221" t="s">
        <v>0</v>
      </c>
      <c r="C105" s="224" t="s">
        <v>9</v>
      </c>
      <c r="D105" s="139"/>
      <c r="E105" s="156"/>
      <c r="F105" s="156"/>
      <c r="G105" s="156"/>
      <c r="H105" s="156"/>
      <c r="I105" s="156"/>
      <c r="J105" s="156"/>
      <c r="K105" s="143" t="s">
        <v>10</v>
      </c>
      <c r="L105" s="143" t="s">
        <v>11</v>
      </c>
      <c r="M105" s="53" t="s">
        <v>3</v>
      </c>
      <c r="N105" s="51">
        <v>2000000000</v>
      </c>
      <c r="O105" s="60">
        <v>2000000000</v>
      </c>
      <c r="P105" s="58">
        <v>2.7E-2</v>
      </c>
      <c r="Q105" s="60"/>
      <c r="R105" s="60">
        <f>68417269.8+13462993.2+49643.9+1421840.5</f>
        <v>83351747.400000006</v>
      </c>
      <c r="S105" s="48">
        <f t="shared" si="7"/>
        <v>2000000000</v>
      </c>
      <c r="T105" s="195" t="s">
        <v>84</v>
      </c>
      <c r="U105" s="24"/>
    </row>
    <row r="106" spans="1:22" s="25" customFormat="1" ht="144.75" customHeight="1" outlineLevel="1" x14ac:dyDescent="0.2">
      <c r="A106" s="29">
        <v>67</v>
      </c>
      <c r="B106" s="222"/>
      <c r="C106" s="225"/>
      <c r="D106" s="196"/>
      <c r="E106" s="156"/>
      <c r="F106" s="156"/>
      <c r="G106" s="156"/>
      <c r="H106" s="156"/>
      <c r="I106" s="156"/>
      <c r="J106" s="156"/>
      <c r="K106" s="143" t="s">
        <v>12</v>
      </c>
      <c r="L106" s="143" t="s">
        <v>13</v>
      </c>
      <c r="M106" s="142" t="s">
        <v>3</v>
      </c>
      <c r="N106" s="51">
        <v>2000000000</v>
      </c>
      <c r="O106" s="60">
        <v>2000000000</v>
      </c>
      <c r="P106" s="96">
        <v>5.7000000000000002E-2</v>
      </c>
      <c r="Q106" s="60"/>
      <c r="R106" s="60">
        <f>153819379.6+28421448.8+780809.1</f>
        <v>183021637.5</v>
      </c>
      <c r="S106" s="48">
        <f t="shared" si="7"/>
        <v>2000000000</v>
      </c>
      <c r="T106" s="195" t="s">
        <v>84</v>
      </c>
      <c r="U106" s="24"/>
    </row>
    <row r="107" spans="1:22" s="25" customFormat="1" ht="90.75" customHeight="1" outlineLevel="1" thickBot="1" x14ac:dyDescent="0.25">
      <c r="A107" s="97">
        <v>68</v>
      </c>
      <c r="B107" s="223"/>
      <c r="C107" s="226"/>
      <c r="D107" s="197"/>
      <c r="E107" s="98"/>
      <c r="F107" s="98"/>
      <c r="G107" s="98"/>
      <c r="H107" s="98"/>
      <c r="I107" s="98"/>
      <c r="J107" s="98"/>
      <c r="K107" s="99"/>
      <c r="L107" s="100" t="s">
        <v>209</v>
      </c>
      <c r="M107" s="136" t="s">
        <v>3</v>
      </c>
      <c r="N107" s="101">
        <v>5000000000</v>
      </c>
      <c r="O107" s="133">
        <v>5000000000</v>
      </c>
      <c r="P107" s="102">
        <v>2.7E-2</v>
      </c>
      <c r="Q107" s="133"/>
      <c r="R107" s="133">
        <f>34209157.5+76580313.4</f>
        <v>110789470.90000001</v>
      </c>
      <c r="S107" s="103">
        <f t="shared" si="7"/>
        <v>5000000000</v>
      </c>
      <c r="T107" s="195" t="s">
        <v>84</v>
      </c>
      <c r="U107" s="24"/>
    </row>
    <row r="108" spans="1:22" s="20" customFormat="1" ht="30" customHeight="1" x14ac:dyDescent="0.25">
      <c r="A108" s="206" t="s">
        <v>210</v>
      </c>
      <c r="B108" s="207"/>
      <c r="C108" s="207"/>
      <c r="D108" s="212" t="s">
        <v>36</v>
      </c>
      <c r="E108" s="213"/>
      <c r="F108" s="213"/>
      <c r="G108" s="213"/>
      <c r="H108" s="213"/>
      <c r="I108" s="213"/>
      <c r="J108" s="213"/>
      <c r="K108" s="213"/>
      <c r="L108" s="214"/>
      <c r="M108" s="151"/>
      <c r="N108" s="27">
        <f>SUMIF($M$102:$M$107,D108,$N$102:$N$107)</f>
        <v>0</v>
      </c>
      <c r="O108" s="27">
        <f>SUMIF($M$102:$M$107,D108,$O$102:$O$107)</f>
        <v>0</v>
      </c>
      <c r="P108" s="27"/>
      <c r="Q108" s="27">
        <f>SUMIF($M$102:$M$107,D108,$Q$102:$Q$107)</f>
        <v>0</v>
      </c>
      <c r="R108" s="27">
        <f>SUMIF($M$102:$M$107,D108,$R$102:$R$107)</f>
        <v>0</v>
      </c>
      <c r="S108" s="27">
        <f>SUMIF($M$102:$M$107,D108,$S$102:$S$107)</f>
        <v>0</v>
      </c>
      <c r="T108" s="188"/>
      <c r="U108" s="24"/>
      <c r="V108" s="25"/>
    </row>
    <row r="109" spans="1:22" s="20" customFormat="1" ht="27" customHeight="1" x14ac:dyDescent="0.25">
      <c r="A109" s="208"/>
      <c r="B109" s="209"/>
      <c r="C109" s="209"/>
      <c r="D109" s="215" t="s">
        <v>3</v>
      </c>
      <c r="E109" s="216"/>
      <c r="F109" s="216"/>
      <c r="G109" s="216"/>
      <c r="H109" s="216"/>
      <c r="I109" s="216"/>
      <c r="J109" s="216"/>
      <c r="K109" s="216"/>
      <c r="L109" s="217"/>
      <c r="M109" s="77"/>
      <c r="N109" s="27">
        <f>SUMIF($M$102:$M$107,D109,$N$102:$N$107)</f>
        <v>24909500000</v>
      </c>
      <c r="O109" s="22">
        <f>SUMIF($M$102:$M$107,D109,$O$102:$O$107)</f>
        <v>24586795000</v>
      </c>
      <c r="P109" s="22"/>
      <c r="Q109" s="22">
        <f>SUMIF($M$102:$M$107,D109,$Q$102:$Q$107)</f>
        <v>12863182138.100008</v>
      </c>
      <c r="R109" s="22">
        <f>SUMIF($M$102:$M$107,D109,$R$102:$R$107)</f>
        <v>427233707.20000005</v>
      </c>
      <c r="S109" s="22">
        <f>SUMIF($M$102:$M$107,D109,$S$102:$S$107)</f>
        <v>11723612861.899992</v>
      </c>
      <c r="T109" s="189"/>
      <c r="U109" s="24"/>
      <c r="V109" s="25"/>
    </row>
    <row r="110" spans="1:22" s="20" customFormat="1" ht="28.5" customHeight="1" x14ac:dyDescent="0.25">
      <c r="A110" s="208"/>
      <c r="B110" s="209"/>
      <c r="C110" s="209"/>
      <c r="D110" s="215" t="s">
        <v>58</v>
      </c>
      <c r="E110" s="216"/>
      <c r="F110" s="216"/>
      <c r="G110" s="216"/>
      <c r="H110" s="216"/>
      <c r="I110" s="216"/>
      <c r="J110" s="216"/>
      <c r="K110" s="216"/>
      <c r="L110" s="217"/>
      <c r="M110" s="77"/>
      <c r="N110" s="27">
        <f>SUMIF($M$102:$M$107,D110,$N$102:$N$107)</f>
        <v>0</v>
      </c>
      <c r="O110" s="22">
        <f>SUMIF($M$102:$M$107,D110,$O$102:$O$107)</f>
        <v>0</v>
      </c>
      <c r="P110" s="22"/>
      <c r="Q110" s="22">
        <f>SUMIF($M$102:$M$107,D110,$Q$102:$Q$107)</f>
        <v>0</v>
      </c>
      <c r="R110" s="22">
        <f>SUMIF($M$102:$M$107,D110,$R$102:$R$107)</f>
        <v>0</v>
      </c>
      <c r="S110" s="22">
        <f>SUMIF($M$102:$M$107,D110,$S$102:$S$107)</f>
        <v>0</v>
      </c>
      <c r="T110" s="189"/>
      <c r="U110" s="19"/>
    </row>
    <row r="111" spans="1:22" s="20" customFormat="1" ht="30" customHeight="1" thickBot="1" x14ac:dyDescent="0.3">
      <c r="A111" s="210"/>
      <c r="B111" s="211"/>
      <c r="C111" s="211"/>
      <c r="D111" s="218" t="s">
        <v>79</v>
      </c>
      <c r="E111" s="219"/>
      <c r="F111" s="219"/>
      <c r="G111" s="219"/>
      <c r="H111" s="219"/>
      <c r="I111" s="219"/>
      <c r="J111" s="219"/>
      <c r="K111" s="219"/>
      <c r="L111" s="220"/>
      <c r="M111" s="78"/>
      <c r="N111" s="23">
        <f>SUMIF($M$102:$M$107,D111,$N$102:$N$107)</f>
        <v>0</v>
      </c>
      <c r="O111" s="23">
        <f>SUMIF($M$102:$M$107,D111,$O$102:$O$107)</f>
        <v>0</v>
      </c>
      <c r="P111" s="23"/>
      <c r="Q111" s="23">
        <f>SUMIF($M$102:$M$107,D111,$Q$102:$Q$107)</f>
        <v>0</v>
      </c>
      <c r="R111" s="23">
        <f>SUMIF($M$102:$M$107,D111,$R$102:$R$107)</f>
        <v>0</v>
      </c>
      <c r="S111" s="23">
        <f>SUMIF($M$102:$M$107,D111,$S$102:$S$107)</f>
        <v>0</v>
      </c>
      <c r="T111" s="193"/>
      <c r="U111" s="19"/>
    </row>
    <row r="112" spans="1:22" s="25" customFormat="1" ht="121.5" outlineLevel="1" x14ac:dyDescent="0.2">
      <c r="A112" s="79">
        <v>69</v>
      </c>
      <c r="B112" s="104" t="s">
        <v>211</v>
      </c>
      <c r="C112" s="106" t="s">
        <v>212</v>
      </c>
      <c r="D112" s="139"/>
      <c r="E112" s="156"/>
      <c r="F112" s="156"/>
      <c r="G112" s="156"/>
      <c r="H112" s="156"/>
      <c r="I112" s="156"/>
      <c r="J112" s="156"/>
      <c r="K112" s="143" t="s">
        <v>389</v>
      </c>
      <c r="L112" s="143" t="s">
        <v>213</v>
      </c>
      <c r="M112" s="53" t="s">
        <v>3</v>
      </c>
      <c r="N112" s="105">
        <v>574491741</v>
      </c>
      <c r="O112" s="105">
        <v>574491741</v>
      </c>
      <c r="P112" s="163">
        <v>1E-4</v>
      </c>
      <c r="Q112" s="105"/>
      <c r="R112" s="105">
        <f>85623+14165</f>
        <v>99788</v>
      </c>
      <c r="S112" s="161">
        <f t="shared" si="7"/>
        <v>574491741</v>
      </c>
      <c r="T112" s="198" t="s">
        <v>214</v>
      </c>
      <c r="U112" s="24"/>
    </row>
    <row r="113" spans="1:21" s="25" customFormat="1" ht="121.5" outlineLevel="1" x14ac:dyDescent="0.2">
      <c r="A113" s="29">
        <v>70</v>
      </c>
      <c r="B113" s="87" t="s">
        <v>215</v>
      </c>
      <c r="C113" s="95" t="s">
        <v>212</v>
      </c>
      <c r="D113" s="139"/>
      <c r="E113" s="156"/>
      <c r="F113" s="156"/>
      <c r="G113" s="156"/>
      <c r="H113" s="156"/>
      <c r="I113" s="156"/>
      <c r="J113" s="156"/>
      <c r="K113" s="143" t="s">
        <v>390</v>
      </c>
      <c r="L113" s="143" t="s">
        <v>216</v>
      </c>
      <c r="M113" s="53" t="s">
        <v>3</v>
      </c>
      <c r="N113" s="93">
        <v>98612371</v>
      </c>
      <c r="O113" s="83">
        <v>98612371</v>
      </c>
      <c r="P113" s="159">
        <v>1E-4</v>
      </c>
      <c r="Q113" s="83"/>
      <c r="R113" s="83">
        <v>17060</v>
      </c>
      <c r="S113" s="153">
        <f t="shared" si="7"/>
        <v>98612371</v>
      </c>
      <c r="T113" s="195" t="s">
        <v>217</v>
      </c>
      <c r="U113" s="24"/>
    </row>
    <row r="114" spans="1:21" s="25" customFormat="1" ht="121.5" outlineLevel="1" x14ac:dyDescent="0.2">
      <c r="A114" s="29">
        <v>71</v>
      </c>
      <c r="B114" s="87" t="s">
        <v>218</v>
      </c>
      <c r="C114" s="95" t="s">
        <v>212</v>
      </c>
      <c r="D114" s="139"/>
      <c r="E114" s="156"/>
      <c r="F114" s="156"/>
      <c r="G114" s="156"/>
      <c r="H114" s="156"/>
      <c r="I114" s="156"/>
      <c r="J114" s="156"/>
      <c r="K114" s="143" t="s">
        <v>391</v>
      </c>
      <c r="L114" s="143" t="s">
        <v>219</v>
      </c>
      <c r="M114" s="53" t="s">
        <v>3</v>
      </c>
      <c r="N114" s="93">
        <v>60132468</v>
      </c>
      <c r="O114" s="83">
        <v>60132468</v>
      </c>
      <c r="P114" s="159">
        <v>1E-4</v>
      </c>
      <c r="Q114" s="83">
        <f>4625574.5+4625574.5</f>
        <v>9251149</v>
      </c>
      <c r="R114" s="83">
        <f>10367+1511.2+1400</f>
        <v>13278.2</v>
      </c>
      <c r="S114" s="153">
        <f t="shared" si="7"/>
        <v>50881319</v>
      </c>
      <c r="T114" s="195" t="s">
        <v>220</v>
      </c>
      <c r="U114" s="28"/>
    </row>
    <row r="115" spans="1:21" s="25" customFormat="1" ht="121.5" outlineLevel="1" x14ac:dyDescent="0.2">
      <c r="A115" s="29">
        <v>72</v>
      </c>
      <c r="B115" s="87" t="s">
        <v>221</v>
      </c>
      <c r="C115" s="95" t="s">
        <v>212</v>
      </c>
      <c r="D115" s="139"/>
      <c r="E115" s="156"/>
      <c r="F115" s="156"/>
      <c r="G115" s="156"/>
      <c r="H115" s="156"/>
      <c r="I115" s="156"/>
      <c r="J115" s="156"/>
      <c r="K115" s="143" t="s">
        <v>392</v>
      </c>
      <c r="L115" s="143" t="s">
        <v>222</v>
      </c>
      <c r="M115" s="53" t="s">
        <v>3</v>
      </c>
      <c r="N115" s="51">
        <f>9500000+12453199</f>
        <v>21953199</v>
      </c>
      <c r="O115" s="83">
        <f>9500000+12453199</f>
        <v>21953199</v>
      </c>
      <c r="P115" s="159">
        <v>1E-4</v>
      </c>
      <c r="Q115" s="83"/>
      <c r="R115" s="83">
        <v>3720</v>
      </c>
      <c r="S115" s="153">
        <f t="shared" si="7"/>
        <v>21953199</v>
      </c>
      <c r="T115" s="195" t="s">
        <v>223</v>
      </c>
      <c r="U115" s="28"/>
    </row>
    <row r="116" spans="1:21" s="25" customFormat="1" ht="129.75" customHeight="1" outlineLevel="1" x14ac:dyDescent="0.2">
      <c r="A116" s="29">
        <v>73</v>
      </c>
      <c r="B116" s="87" t="s">
        <v>224</v>
      </c>
      <c r="C116" s="95" t="s">
        <v>212</v>
      </c>
      <c r="D116" s="139"/>
      <c r="E116" s="156"/>
      <c r="F116" s="156"/>
      <c r="G116" s="156"/>
      <c r="H116" s="156"/>
      <c r="I116" s="156"/>
      <c r="J116" s="156"/>
      <c r="K116" s="143" t="s">
        <v>392</v>
      </c>
      <c r="L116" s="143" t="s">
        <v>225</v>
      </c>
      <c r="M116" s="53" t="s">
        <v>3</v>
      </c>
      <c r="N116" s="93">
        <v>15801400</v>
      </c>
      <c r="O116" s="83">
        <v>15801400</v>
      </c>
      <c r="P116" s="159">
        <v>1E-4</v>
      </c>
      <c r="Q116" s="83"/>
      <c r="R116" s="83">
        <v>3500</v>
      </c>
      <c r="S116" s="153">
        <f t="shared" si="7"/>
        <v>15801400</v>
      </c>
      <c r="T116" s="195" t="s">
        <v>226</v>
      </c>
      <c r="U116" s="28"/>
    </row>
    <row r="117" spans="1:21" s="25" customFormat="1" ht="129.75" customHeight="1" outlineLevel="1" x14ac:dyDescent="0.2">
      <c r="A117" s="29">
        <v>74</v>
      </c>
      <c r="B117" s="87" t="s">
        <v>227</v>
      </c>
      <c r="C117" s="95" t="s">
        <v>212</v>
      </c>
      <c r="D117" s="139"/>
      <c r="E117" s="156"/>
      <c r="F117" s="156"/>
      <c r="G117" s="156"/>
      <c r="H117" s="156"/>
      <c r="I117" s="156"/>
      <c r="J117" s="156"/>
      <c r="K117" s="143" t="s">
        <v>392</v>
      </c>
      <c r="L117" s="143" t="s">
        <v>225</v>
      </c>
      <c r="M117" s="53" t="s">
        <v>3</v>
      </c>
      <c r="N117" s="93">
        <v>2554000</v>
      </c>
      <c r="O117" s="83">
        <v>2554000</v>
      </c>
      <c r="P117" s="159">
        <v>1E-4</v>
      </c>
      <c r="Q117" s="83"/>
      <c r="R117" s="83">
        <f>500</f>
        <v>500</v>
      </c>
      <c r="S117" s="153">
        <f t="shared" si="7"/>
        <v>2554000</v>
      </c>
      <c r="T117" s="195" t="s">
        <v>228</v>
      </c>
      <c r="U117" s="28"/>
    </row>
    <row r="118" spans="1:21" s="25" customFormat="1" ht="129.75" customHeight="1" outlineLevel="1" x14ac:dyDescent="0.2">
      <c r="A118" s="29">
        <v>75</v>
      </c>
      <c r="B118" s="87" t="s">
        <v>229</v>
      </c>
      <c r="C118" s="95" t="s">
        <v>212</v>
      </c>
      <c r="D118" s="139"/>
      <c r="E118" s="156"/>
      <c r="F118" s="156"/>
      <c r="G118" s="156"/>
      <c r="H118" s="156"/>
      <c r="I118" s="156"/>
      <c r="J118" s="156"/>
      <c r="K118" s="143" t="s">
        <v>392</v>
      </c>
      <c r="L118" s="143" t="s">
        <v>230</v>
      </c>
      <c r="M118" s="53" t="s">
        <v>3</v>
      </c>
      <c r="N118" s="93">
        <v>29053320</v>
      </c>
      <c r="O118" s="83">
        <v>29053320</v>
      </c>
      <c r="P118" s="159">
        <v>1E-4</v>
      </c>
      <c r="Q118" s="83"/>
      <c r="R118" s="83">
        <f>2000+3000</f>
        <v>5000</v>
      </c>
      <c r="S118" s="153">
        <f t="shared" si="7"/>
        <v>29053320</v>
      </c>
      <c r="T118" s="195" t="s">
        <v>231</v>
      </c>
      <c r="U118" s="28"/>
    </row>
    <row r="119" spans="1:21" s="25" customFormat="1" ht="129.75" customHeight="1" outlineLevel="1" x14ac:dyDescent="0.2">
      <c r="A119" s="29">
        <v>76</v>
      </c>
      <c r="B119" s="87" t="s">
        <v>232</v>
      </c>
      <c r="C119" s="95" t="s">
        <v>212</v>
      </c>
      <c r="D119" s="139"/>
      <c r="E119" s="156"/>
      <c r="F119" s="156"/>
      <c r="G119" s="156"/>
      <c r="H119" s="156"/>
      <c r="I119" s="156"/>
      <c r="J119" s="156"/>
      <c r="K119" s="143" t="s">
        <v>392</v>
      </c>
      <c r="L119" s="143" t="s">
        <v>233</v>
      </c>
      <c r="M119" s="53" t="s">
        <v>3</v>
      </c>
      <c r="N119" s="93">
        <v>192064443</v>
      </c>
      <c r="O119" s="83">
        <f>95000000+97064443</f>
        <v>192064443</v>
      </c>
      <c r="P119" s="159">
        <v>1E-4</v>
      </c>
      <c r="Q119" s="83"/>
      <c r="R119" s="83">
        <f>16100+12200</f>
        <v>28300</v>
      </c>
      <c r="S119" s="153">
        <f t="shared" si="7"/>
        <v>192064443</v>
      </c>
      <c r="T119" s="195" t="s">
        <v>234</v>
      </c>
      <c r="U119" s="28"/>
    </row>
    <row r="120" spans="1:21" s="25" customFormat="1" ht="129.75" customHeight="1" outlineLevel="1" x14ac:dyDescent="0.2">
      <c r="A120" s="29">
        <v>77</v>
      </c>
      <c r="B120" s="87" t="s">
        <v>236</v>
      </c>
      <c r="C120" s="95" t="s">
        <v>212</v>
      </c>
      <c r="D120" s="139"/>
      <c r="E120" s="156"/>
      <c r="F120" s="156"/>
      <c r="G120" s="156"/>
      <c r="H120" s="156"/>
      <c r="I120" s="156"/>
      <c r="J120" s="156"/>
      <c r="K120" s="143" t="s">
        <v>392</v>
      </c>
      <c r="L120" s="143" t="s">
        <v>235</v>
      </c>
      <c r="M120" s="53" t="s">
        <v>3</v>
      </c>
      <c r="N120" s="93">
        <v>3469534</v>
      </c>
      <c r="O120" s="83">
        <v>3469534</v>
      </c>
      <c r="P120" s="159">
        <v>1E-4</v>
      </c>
      <c r="Q120" s="83">
        <v>266887</v>
      </c>
      <c r="R120" s="83">
        <f>600+86</f>
        <v>686</v>
      </c>
      <c r="S120" s="153">
        <f t="shared" si="7"/>
        <v>3202647</v>
      </c>
      <c r="T120" s="195" t="s">
        <v>237</v>
      </c>
      <c r="U120" s="28"/>
    </row>
    <row r="121" spans="1:21" s="25" customFormat="1" ht="129.75" customHeight="1" outlineLevel="1" x14ac:dyDescent="0.2">
      <c r="A121" s="29">
        <v>78</v>
      </c>
      <c r="B121" s="87" t="s">
        <v>238</v>
      </c>
      <c r="C121" s="95" t="s">
        <v>212</v>
      </c>
      <c r="D121" s="139"/>
      <c r="E121" s="156"/>
      <c r="F121" s="156"/>
      <c r="G121" s="156"/>
      <c r="H121" s="156"/>
      <c r="I121" s="156"/>
      <c r="J121" s="156"/>
      <c r="K121" s="143" t="s">
        <v>392</v>
      </c>
      <c r="L121" s="143" t="s">
        <v>239</v>
      </c>
      <c r="M121" s="53" t="s">
        <v>3</v>
      </c>
      <c r="N121" s="93">
        <v>11781702</v>
      </c>
      <c r="O121" s="83">
        <v>11781702</v>
      </c>
      <c r="P121" s="159">
        <v>1E-4</v>
      </c>
      <c r="Q121" s="83">
        <f>906285+906285</f>
        <v>1812570</v>
      </c>
      <c r="R121" s="83">
        <f>3000+1500</f>
        <v>4500</v>
      </c>
      <c r="S121" s="153">
        <f t="shared" si="7"/>
        <v>9969132</v>
      </c>
      <c r="T121" s="195" t="s">
        <v>240</v>
      </c>
      <c r="U121" s="28"/>
    </row>
    <row r="122" spans="1:21" s="25" customFormat="1" ht="129.75" customHeight="1" outlineLevel="1" x14ac:dyDescent="0.2">
      <c r="A122" s="29">
        <v>79</v>
      </c>
      <c r="B122" s="87" t="s">
        <v>241</v>
      </c>
      <c r="C122" s="95" t="s">
        <v>212</v>
      </c>
      <c r="D122" s="139"/>
      <c r="E122" s="156"/>
      <c r="F122" s="156"/>
      <c r="G122" s="156"/>
      <c r="H122" s="156"/>
      <c r="I122" s="156"/>
      <c r="J122" s="156"/>
      <c r="K122" s="143" t="s">
        <v>392</v>
      </c>
      <c r="L122" s="143" t="s">
        <v>242</v>
      </c>
      <c r="M122" s="53" t="s">
        <v>3</v>
      </c>
      <c r="N122" s="93">
        <f>112000000+16200000</f>
        <v>128200000</v>
      </c>
      <c r="O122" s="83">
        <f>112000000+16200000</f>
        <v>128200000</v>
      </c>
      <c r="P122" s="159">
        <v>1E-4</v>
      </c>
      <c r="Q122" s="83"/>
      <c r="R122" s="83">
        <f>25640+12820</f>
        <v>38460</v>
      </c>
      <c r="S122" s="153">
        <f t="shared" si="7"/>
        <v>128200000</v>
      </c>
      <c r="T122" s="195" t="s">
        <v>243</v>
      </c>
      <c r="U122" s="28"/>
    </row>
    <row r="123" spans="1:21" s="25" customFormat="1" ht="129.75" customHeight="1" outlineLevel="1" x14ac:dyDescent="0.2">
      <c r="A123" s="29">
        <v>80</v>
      </c>
      <c r="B123" s="87" t="s">
        <v>244</v>
      </c>
      <c r="C123" s="95" t="s">
        <v>212</v>
      </c>
      <c r="D123" s="139"/>
      <c r="E123" s="156"/>
      <c r="F123" s="156"/>
      <c r="G123" s="156"/>
      <c r="H123" s="156"/>
      <c r="I123" s="156"/>
      <c r="J123" s="156"/>
      <c r="K123" s="143" t="s">
        <v>392</v>
      </c>
      <c r="L123" s="143" t="s">
        <v>245</v>
      </c>
      <c r="M123" s="53" t="s">
        <v>3</v>
      </c>
      <c r="N123" s="93">
        <v>26127500</v>
      </c>
      <c r="O123" s="83">
        <v>26127500</v>
      </c>
      <c r="P123" s="159">
        <v>1E-4</v>
      </c>
      <c r="Q123" s="83"/>
      <c r="R123" s="83">
        <f>4530</f>
        <v>4530</v>
      </c>
      <c r="S123" s="153">
        <f t="shared" si="7"/>
        <v>26127500</v>
      </c>
      <c r="T123" s="195" t="s">
        <v>246</v>
      </c>
      <c r="U123" s="28"/>
    </row>
    <row r="124" spans="1:21" s="25" customFormat="1" ht="129.75" customHeight="1" outlineLevel="1" x14ac:dyDescent="0.2">
      <c r="A124" s="29">
        <v>81</v>
      </c>
      <c r="B124" s="87" t="s">
        <v>247</v>
      </c>
      <c r="C124" s="95" t="s">
        <v>212</v>
      </c>
      <c r="D124" s="139"/>
      <c r="E124" s="156"/>
      <c r="F124" s="156"/>
      <c r="G124" s="156"/>
      <c r="H124" s="156"/>
      <c r="I124" s="156"/>
      <c r="J124" s="156"/>
      <c r="K124" s="143" t="s">
        <v>392</v>
      </c>
      <c r="L124" s="143" t="s">
        <v>248</v>
      </c>
      <c r="M124" s="53" t="s">
        <v>3</v>
      </c>
      <c r="N124" s="93">
        <v>19297200</v>
      </c>
      <c r="O124" s="83">
        <f>10800000+3440000+1440000+3617200</f>
        <v>19297200</v>
      </c>
      <c r="P124" s="159">
        <v>1E-4</v>
      </c>
      <c r="Q124" s="83"/>
      <c r="R124" s="83">
        <f>3000</f>
        <v>3000</v>
      </c>
      <c r="S124" s="153">
        <f t="shared" si="7"/>
        <v>19297200</v>
      </c>
      <c r="T124" s="195" t="s">
        <v>249</v>
      </c>
      <c r="U124" s="28"/>
    </row>
    <row r="125" spans="1:21" s="25" customFormat="1" ht="129.75" customHeight="1" outlineLevel="1" x14ac:dyDescent="0.2">
      <c r="A125" s="29">
        <v>82</v>
      </c>
      <c r="B125" s="87" t="s">
        <v>250</v>
      </c>
      <c r="C125" s="95" t="s">
        <v>212</v>
      </c>
      <c r="D125" s="139"/>
      <c r="E125" s="156"/>
      <c r="F125" s="156"/>
      <c r="G125" s="156"/>
      <c r="H125" s="156"/>
      <c r="I125" s="156"/>
      <c r="J125" s="156"/>
      <c r="K125" s="143" t="s">
        <v>392</v>
      </c>
      <c r="L125" s="143" t="s">
        <v>235</v>
      </c>
      <c r="M125" s="53" t="s">
        <v>3</v>
      </c>
      <c r="N125" s="93">
        <v>2164000</v>
      </c>
      <c r="O125" s="83">
        <v>2164000</v>
      </c>
      <c r="P125" s="159">
        <v>1E-4</v>
      </c>
      <c r="Q125" s="51">
        <f>166462</f>
        <v>166462</v>
      </c>
      <c r="R125" s="51">
        <f>370+54.8+100</f>
        <v>524.79999999999995</v>
      </c>
      <c r="S125" s="153">
        <f>O125-R125</f>
        <v>2163475.2000000002</v>
      </c>
      <c r="T125" s="195" t="s">
        <v>251</v>
      </c>
      <c r="U125" s="28"/>
    </row>
    <row r="126" spans="1:21" s="25" customFormat="1" ht="129.75" customHeight="1" outlineLevel="1" x14ac:dyDescent="0.2">
      <c r="A126" s="29">
        <v>83</v>
      </c>
      <c r="B126" s="87" t="s">
        <v>252</v>
      </c>
      <c r="C126" s="95" t="s">
        <v>212</v>
      </c>
      <c r="D126" s="199"/>
      <c r="E126" s="140"/>
      <c r="F126" s="140"/>
      <c r="G126" s="140"/>
      <c r="H126" s="140"/>
      <c r="I126" s="140"/>
      <c r="J126" s="140"/>
      <c r="K126" s="143" t="s">
        <v>392</v>
      </c>
      <c r="L126" s="143" t="s">
        <v>253</v>
      </c>
      <c r="M126" s="53" t="s">
        <v>3</v>
      </c>
      <c r="N126" s="93">
        <v>253504102</v>
      </c>
      <c r="O126" s="83">
        <v>253504102</v>
      </c>
      <c r="P126" s="159">
        <v>1E-4</v>
      </c>
      <c r="Q126" s="83"/>
      <c r="R126" s="83">
        <f>5973+6390+6181+6389+6181.4+6390+6390+6390</f>
        <v>50284.4</v>
      </c>
      <c r="S126" s="153">
        <f t="shared" ref="S126:S132" si="8">O126-Q126</f>
        <v>253504102</v>
      </c>
      <c r="T126" s="195" t="s">
        <v>254</v>
      </c>
      <c r="U126" s="28"/>
    </row>
    <row r="127" spans="1:21" s="25" customFormat="1" ht="129.75" customHeight="1" outlineLevel="1" x14ac:dyDescent="0.2">
      <c r="A127" s="29">
        <v>84</v>
      </c>
      <c r="B127" s="87" t="s">
        <v>255</v>
      </c>
      <c r="C127" s="95" t="s">
        <v>212</v>
      </c>
      <c r="D127" s="139"/>
      <c r="E127" s="156"/>
      <c r="F127" s="156"/>
      <c r="G127" s="156"/>
      <c r="H127" s="156"/>
      <c r="I127" s="156"/>
      <c r="J127" s="156"/>
      <c r="K127" s="143" t="s">
        <v>392</v>
      </c>
      <c r="L127" s="143" t="s">
        <v>253</v>
      </c>
      <c r="M127" s="53" t="s">
        <v>3</v>
      </c>
      <c r="N127" s="93">
        <v>76200000</v>
      </c>
      <c r="O127" s="83">
        <v>76200000</v>
      </c>
      <c r="P127" s="159">
        <v>1E-4</v>
      </c>
      <c r="Q127" s="83"/>
      <c r="R127" s="83">
        <v>7620</v>
      </c>
      <c r="S127" s="153">
        <f t="shared" si="8"/>
        <v>76200000</v>
      </c>
      <c r="T127" s="195" t="s">
        <v>256</v>
      </c>
      <c r="U127" s="28"/>
    </row>
    <row r="128" spans="1:21" s="25" customFormat="1" ht="121.5" outlineLevel="1" x14ac:dyDescent="0.2">
      <c r="A128" s="29">
        <v>85</v>
      </c>
      <c r="B128" s="87" t="s">
        <v>257</v>
      </c>
      <c r="C128" s="95" t="s">
        <v>212</v>
      </c>
      <c r="D128" s="139"/>
      <c r="E128" s="156"/>
      <c r="F128" s="156"/>
      <c r="G128" s="156"/>
      <c r="H128" s="156"/>
      <c r="I128" s="156"/>
      <c r="J128" s="156"/>
      <c r="K128" s="143" t="s">
        <v>392</v>
      </c>
      <c r="L128" s="143" t="s">
        <v>258</v>
      </c>
      <c r="M128" s="53" t="s">
        <v>3</v>
      </c>
      <c r="N128" s="93">
        <v>50613970</v>
      </c>
      <c r="O128" s="83">
        <v>50613970</v>
      </c>
      <c r="P128" s="159">
        <v>1E-4</v>
      </c>
      <c r="Q128" s="83"/>
      <c r="R128" s="83">
        <f>8800+8800</f>
        <v>17600</v>
      </c>
      <c r="S128" s="153">
        <f t="shared" si="8"/>
        <v>50613970</v>
      </c>
      <c r="T128" s="195" t="s">
        <v>259</v>
      </c>
      <c r="U128" s="28"/>
    </row>
    <row r="129" spans="1:21" s="25" customFormat="1" ht="121.5" outlineLevel="1" x14ac:dyDescent="0.2">
      <c r="A129" s="29">
        <v>86</v>
      </c>
      <c r="B129" s="87" t="s">
        <v>260</v>
      </c>
      <c r="C129" s="95" t="s">
        <v>212</v>
      </c>
      <c r="D129" s="139"/>
      <c r="E129" s="156"/>
      <c r="F129" s="156"/>
      <c r="G129" s="156"/>
      <c r="H129" s="156"/>
      <c r="I129" s="156"/>
      <c r="J129" s="156"/>
      <c r="K129" s="143" t="s">
        <v>392</v>
      </c>
      <c r="L129" s="143" t="s">
        <v>261</v>
      </c>
      <c r="M129" s="53" t="s">
        <v>3</v>
      </c>
      <c r="N129" s="93">
        <v>184740000</v>
      </c>
      <c r="O129" s="83">
        <v>184740000</v>
      </c>
      <c r="P129" s="159">
        <v>1E-4</v>
      </c>
      <c r="Q129" s="83"/>
      <c r="R129" s="83">
        <f>31700</f>
        <v>31700</v>
      </c>
      <c r="S129" s="153">
        <f t="shared" si="8"/>
        <v>184740000</v>
      </c>
      <c r="T129" s="195" t="s">
        <v>262</v>
      </c>
      <c r="U129" s="28"/>
    </row>
    <row r="130" spans="1:21" s="25" customFormat="1" ht="121.5" outlineLevel="1" x14ac:dyDescent="0.2">
      <c r="A130" s="29">
        <v>87</v>
      </c>
      <c r="B130" s="87" t="s">
        <v>263</v>
      </c>
      <c r="C130" s="95" t="s">
        <v>212</v>
      </c>
      <c r="D130" s="139"/>
      <c r="E130" s="156"/>
      <c r="F130" s="156"/>
      <c r="G130" s="156"/>
      <c r="H130" s="156"/>
      <c r="I130" s="156"/>
      <c r="J130" s="156"/>
      <c r="K130" s="143" t="s">
        <v>392</v>
      </c>
      <c r="L130" s="143" t="s">
        <v>264</v>
      </c>
      <c r="M130" s="53" t="s">
        <v>3</v>
      </c>
      <c r="N130" s="93">
        <v>219559596</v>
      </c>
      <c r="O130" s="83">
        <v>219559596</v>
      </c>
      <c r="P130" s="159">
        <v>1E-4</v>
      </c>
      <c r="Q130" s="83"/>
      <c r="R130" s="83">
        <f>5294+5294+27550</f>
        <v>38138</v>
      </c>
      <c r="S130" s="153">
        <f t="shared" si="8"/>
        <v>219559596</v>
      </c>
      <c r="T130" s="195" t="s">
        <v>265</v>
      </c>
      <c r="U130" s="28"/>
    </row>
    <row r="131" spans="1:21" s="25" customFormat="1" ht="121.5" outlineLevel="1" x14ac:dyDescent="0.2">
      <c r="A131" s="29">
        <v>88</v>
      </c>
      <c r="B131" s="87" t="s">
        <v>266</v>
      </c>
      <c r="C131" s="95" t="s">
        <v>212</v>
      </c>
      <c r="D131" s="139"/>
      <c r="E131" s="156"/>
      <c r="F131" s="156"/>
      <c r="G131" s="156"/>
      <c r="H131" s="156"/>
      <c r="I131" s="156"/>
      <c r="J131" s="156"/>
      <c r="K131" s="143" t="s">
        <v>392</v>
      </c>
      <c r="L131" s="143" t="s">
        <v>261</v>
      </c>
      <c r="M131" s="53" t="s">
        <v>3</v>
      </c>
      <c r="N131" s="93">
        <v>29081500</v>
      </c>
      <c r="O131" s="83">
        <v>29081500</v>
      </c>
      <c r="P131" s="159">
        <v>1E-4</v>
      </c>
      <c r="Q131" s="83"/>
      <c r="R131" s="83">
        <f>1000+4000</f>
        <v>5000</v>
      </c>
      <c r="S131" s="153">
        <f t="shared" si="8"/>
        <v>29081500</v>
      </c>
      <c r="T131" s="195" t="s">
        <v>267</v>
      </c>
      <c r="U131" s="28"/>
    </row>
    <row r="132" spans="1:21" s="25" customFormat="1" ht="123" customHeight="1" outlineLevel="1" thickBot="1" x14ac:dyDescent="0.25">
      <c r="A132" s="97">
        <v>89</v>
      </c>
      <c r="B132" s="293" t="s">
        <v>268</v>
      </c>
      <c r="C132" s="294" t="s">
        <v>212</v>
      </c>
      <c r="D132" s="139"/>
      <c r="E132" s="156"/>
      <c r="F132" s="156"/>
      <c r="G132" s="156"/>
      <c r="H132" s="156"/>
      <c r="I132" s="156"/>
      <c r="J132" s="156"/>
      <c r="K132" s="143" t="s">
        <v>392</v>
      </c>
      <c r="L132" s="143" t="s">
        <v>269</v>
      </c>
      <c r="M132" s="53" t="s">
        <v>3</v>
      </c>
      <c r="N132" s="93">
        <v>12060940</v>
      </c>
      <c r="O132" s="105">
        <v>12060940</v>
      </c>
      <c r="P132" s="159">
        <v>1E-4</v>
      </c>
      <c r="Q132" s="83"/>
      <c r="R132" s="83">
        <v>2170</v>
      </c>
      <c r="S132" s="153">
        <f t="shared" si="8"/>
        <v>12060940</v>
      </c>
      <c r="T132" s="195" t="s">
        <v>270</v>
      </c>
      <c r="U132" s="28"/>
    </row>
    <row r="133" spans="1:21" s="20" customFormat="1" ht="30" customHeight="1" x14ac:dyDescent="0.25">
      <c r="A133" s="208" t="s">
        <v>409</v>
      </c>
      <c r="B133" s="209"/>
      <c r="C133" s="209"/>
      <c r="D133" s="212" t="s">
        <v>36</v>
      </c>
      <c r="E133" s="213"/>
      <c r="F133" s="213"/>
      <c r="G133" s="213"/>
      <c r="H133" s="213"/>
      <c r="I133" s="213"/>
      <c r="J133" s="213"/>
      <c r="K133" s="213"/>
      <c r="L133" s="214"/>
      <c r="M133" s="107"/>
      <c r="N133" s="21">
        <f>SUMIF($M$112:$M$132,D133,$N$112:$N$132)</f>
        <v>0</v>
      </c>
      <c r="O133" s="26">
        <f>SUMIF($M$102:$M$132,D133,$O$102:$O$132)</f>
        <v>0</v>
      </c>
      <c r="P133" s="26"/>
      <c r="Q133" s="26">
        <f>SUMIF($M$102:$M$132,D133,$Q$102:$Q$132)</f>
        <v>0</v>
      </c>
      <c r="R133" s="26">
        <f>SUMIF($M$102:$M$132,D133,$R$102:$R$132)</f>
        <v>0</v>
      </c>
      <c r="S133" s="26">
        <f>SUMIF($M$102:$M$132,D133,$S$102:$S$132)</f>
        <v>0</v>
      </c>
      <c r="T133" s="188"/>
      <c r="U133" s="19"/>
    </row>
    <row r="134" spans="1:21" s="20" customFormat="1" ht="27" customHeight="1" x14ac:dyDescent="0.25">
      <c r="A134" s="208"/>
      <c r="B134" s="209"/>
      <c r="C134" s="209"/>
      <c r="D134" s="215" t="s">
        <v>3</v>
      </c>
      <c r="E134" s="216"/>
      <c r="F134" s="216"/>
      <c r="G134" s="216"/>
      <c r="H134" s="216"/>
      <c r="I134" s="216"/>
      <c r="J134" s="216"/>
      <c r="K134" s="216"/>
      <c r="L134" s="217"/>
      <c r="M134" s="77"/>
      <c r="N134" s="22">
        <f>SUMIF($M$112:$M$132,D134,$N$112:$N$132)</f>
        <v>2011462986</v>
      </c>
      <c r="O134" s="22">
        <f>SUMIF($M$112:$M$132,D134,$O$112:$O$132)</f>
        <v>2011462986</v>
      </c>
      <c r="P134" s="22"/>
      <c r="Q134" s="22">
        <f>SUMIF($M$112:$M$132,D134,$Q$112:$Q$132)</f>
        <v>11497068</v>
      </c>
      <c r="R134" s="22">
        <f>SUMIF($M$112:$M$132,D134,$R$112:$R$132)</f>
        <v>375359.4</v>
      </c>
      <c r="S134" s="22">
        <f>SUMIF($M$112:$M$132,D134,$S$112:$S$132)</f>
        <v>2000131855.2</v>
      </c>
      <c r="T134" s="189"/>
      <c r="U134" s="19"/>
    </row>
    <row r="135" spans="1:21" s="20" customFormat="1" ht="28.5" customHeight="1" x14ac:dyDescent="0.25">
      <c r="A135" s="208"/>
      <c r="B135" s="209"/>
      <c r="C135" s="209"/>
      <c r="D135" s="215" t="s">
        <v>58</v>
      </c>
      <c r="E135" s="216"/>
      <c r="F135" s="216"/>
      <c r="G135" s="216"/>
      <c r="H135" s="216"/>
      <c r="I135" s="216"/>
      <c r="J135" s="216"/>
      <c r="K135" s="216"/>
      <c r="L135" s="217"/>
      <c r="M135" s="77"/>
      <c r="N135" s="22">
        <f>SUMIF($M$112:$M$132,D135,$N$112:$N$132)</f>
        <v>0</v>
      </c>
      <c r="O135" s="22">
        <f>SUMIF($M$102:$M$132,D135,$O$102:$O$132)</f>
        <v>0</v>
      </c>
      <c r="P135" s="22"/>
      <c r="Q135" s="22">
        <f>SUMIF($M$102:$M$132,D135,$Q$102:$Q$132)</f>
        <v>0</v>
      </c>
      <c r="R135" s="22">
        <f>SUMIF($M$102:$M$132,D135,$R$102:$R$132)</f>
        <v>0</v>
      </c>
      <c r="S135" s="22">
        <f>SUMIF($M$102:$M$132,D135,$S$102:$S$132)</f>
        <v>0</v>
      </c>
      <c r="T135" s="189"/>
      <c r="U135" s="19"/>
    </row>
    <row r="136" spans="1:21" s="20" customFormat="1" ht="30" customHeight="1" thickBot="1" x14ac:dyDescent="0.3">
      <c r="A136" s="210"/>
      <c r="B136" s="211"/>
      <c r="C136" s="211"/>
      <c r="D136" s="218" t="s">
        <v>79</v>
      </c>
      <c r="E136" s="219"/>
      <c r="F136" s="219"/>
      <c r="G136" s="219"/>
      <c r="H136" s="219"/>
      <c r="I136" s="219"/>
      <c r="J136" s="219"/>
      <c r="K136" s="219"/>
      <c r="L136" s="220"/>
      <c r="M136" s="78"/>
      <c r="N136" s="23">
        <f>SUMIF($M$112:$M$132,D136,$N$112:$N$132)</f>
        <v>0</v>
      </c>
      <c r="O136" s="23">
        <f>SUMIF($M$102:$M$132,D136,$O$102:$O$132)</f>
        <v>0</v>
      </c>
      <c r="P136" s="23"/>
      <c r="Q136" s="23">
        <f>SUMIF($M$102:$M$132,D136,$Q$102:$Q$132)</f>
        <v>0</v>
      </c>
      <c r="R136" s="23">
        <f>SUMIF($M$102:$M$132,D136,$R$102:$R$132)</f>
        <v>0</v>
      </c>
      <c r="S136" s="23">
        <f>SUMIF($M$102:$M$132,D136,$S$102:$S$132)</f>
        <v>0</v>
      </c>
      <c r="T136" s="193"/>
      <c r="U136" s="19"/>
    </row>
    <row r="137" spans="1:21" s="20" customFormat="1" ht="15.75" customHeight="1" x14ac:dyDescent="0.25">
      <c r="A137" s="206" t="s">
        <v>271</v>
      </c>
      <c r="B137" s="207"/>
      <c r="C137" s="207"/>
      <c r="D137" s="212" t="s">
        <v>36</v>
      </c>
      <c r="E137" s="213"/>
      <c r="F137" s="213"/>
      <c r="G137" s="213"/>
      <c r="H137" s="213"/>
      <c r="I137" s="213"/>
      <c r="J137" s="213"/>
      <c r="K137" s="213"/>
      <c r="L137" s="214"/>
      <c r="M137" s="108"/>
      <c r="N137" s="27">
        <f>N47+N58+N69+N98+N108+N133</f>
        <v>324955301.96000004</v>
      </c>
      <c r="O137" s="27">
        <f>O47+O58+O69+O98+O108+O133</f>
        <v>124521448.93000001</v>
      </c>
      <c r="P137" s="27">
        <f>P47+P58+P69+P98+P108+P133</f>
        <v>0</v>
      </c>
      <c r="Q137" s="27">
        <f>Q47+Q58+Q69+Q98+Q108+Q133</f>
        <v>40269113.301708244</v>
      </c>
      <c r="R137" s="27">
        <f>R47+R58+R69+R98+R108+R133</f>
        <v>15947032.694063282</v>
      </c>
      <c r="S137" s="27">
        <f>S47+S58+S69+S98+S108+S133</f>
        <v>84252335.628291771</v>
      </c>
      <c r="T137" s="200"/>
      <c r="U137" s="19"/>
    </row>
    <row r="138" spans="1:21" s="20" customFormat="1" ht="17.25" customHeight="1" x14ac:dyDescent="0.25">
      <c r="A138" s="208"/>
      <c r="B138" s="209"/>
      <c r="C138" s="209"/>
      <c r="D138" s="215" t="s">
        <v>3</v>
      </c>
      <c r="E138" s="216"/>
      <c r="F138" s="216"/>
      <c r="G138" s="216"/>
      <c r="H138" s="216"/>
      <c r="I138" s="216"/>
      <c r="J138" s="216"/>
      <c r="K138" s="216"/>
      <c r="L138" s="217"/>
      <c r="M138" s="108"/>
      <c r="N138" s="27">
        <f>N48+N59+N70+N99+N109+N134</f>
        <v>174882887740.10001</v>
      </c>
      <c r="O138" s="27">
        <f>O48+O59+O70+O99+O109+O134</f>
        <v>193368966451.91</v>
      </c>
      <c r="P138" s="27">
        <f>P48+P59+P70+P99+P109+P134</f>
        <v>0</v>
      </c>
      <c r="Q138" s="27">
        <f>Q48+Q59+Q70+Q99+Q109+Q134</f>
        <v>83947020588.438721</v>
      </c>
      <c r="R138" s="27">
        <f>R48+R59+R70+R99+R109+R134</f>
        <v>39990771114.456497</v>
      </c>
      <c r="S138" s="27">
        <f>S48+S59+S70+S99+S109+S134</f>
        <v>109422111800.67128</v>
      </c>
      <c r="T138" s="189"/>
      <c r="U138" s="19"/>
    </row>
    <row r="139" spans="1:21" s="20" customFormat="1" ht="15" customHeight="1" x14ac:dyDescent="0.25">
      <c r="A139" s="208"/>
      <c r="B139" s="209"/>
      <c r="C139" s="209"/>
      <c r="D139" s="215" t="s">
        <v>58</v>
      </c>
      <c r="E139" s="216"/>
      <c r="F139" s="216"/>
      <c r="G139" s="216"/>
      <c r="H139" s="216"/>
      <c r="I139" s="216"/>
      <c r="J139" s="216"/>
      <c r="K139" s="216"/>
      <c r="L139" s="217"/>
      <c r="M139" s="77"/>
      <c r="N139" s="27">
        <f>N49+N60+N71+N100+N110+N135</f>
        <v>481140620.10000002</v>
      </c>
      <c r="O139" s="27">
        <f>O49+O60+O71+O100+O110+O135</f>
        <v>355946814.93999994</v>
      </c>
      <c r="P139" s="27">
        <f>P49+P60+P71+P100+P110+P135</f>
        <v>0</v>
      </c>
      <c r="Q139" s="27">
        <f>Q49+Q60+Q71+Q100+Q110+Q135</f>
        <v>83182293.83260864</v>
      </c>
      <c r="R139" s="27">
        <f>R49+R60+R71+R100+R110+R135</f>
        <v>48965773.696367234</v>
      </c>
      <c r="S139" s="27">
        <f>S49+S60+S71+S100+S110+S135</f>
        <v>273214908.98739135</v>
      </c>
      <c r="T139" s="189"/>
      <c r="U139" s="19"/>
    </row>
    <row r="140" spans="1:21" s="20" customFormat="1" ht="25.5" customHeight="1" thickBot="1" x14ac:dyDescent="0.3">
      <c r="A140" s="208"/>
      <c r="B140" s="209"/>
      <c r="C140" s="209"/>
      <c r="D140" s="218" t="s">
        <v>79</v>
      </c>
      <c r="E140" s="219"/>
      <c r="F140" s="219"/>
      <c r="G140" s="219"/>
      <c r="H140" s="219"/>
      <c r="I140" s="219"/>
      <c r="J140" s="219"/>
      <c r="K140" s="219"/>
      <c r="L140" s="220"/>
      <c r="M140" s="109"/>
      <c r="N140" s="27">
        <f>N50+N61+N72+N101+N111+N136</f>
        <v>31777311969</v>
      </c>
      <c r="O140" s="27">
        <f>O50+O61+O72+O101+O111+O136</f>
        <v>31859249643</v>
      </c>
      <c r="P140" s="27">
        <f>P50+P61+P72+P101+P111+P136</f>
        <v>0</v>
      </c>
      <c r="Q140" s="27">
        <f>Q50+Q61+Q72+Q101+Q111+Q136</f>
        <v>10468472425.228352</v>
      </c>
      <c r="R140" s="27">
        <f>R50+R61+R72+R101+R111+R136</f>
        <v>3314986633.2419791</v>
      </c>
      <c r="S140" s="27">
        <f>S50+S61+S72+S101+S111+S136</f>
        <v>21390777217.771648</v>
      </c>
      <c r="T140" s="190"/>
      <c r="U140" s="19"/>
    </row>
    <row r="141" spans="1:21" s="20" customFormat="1" ht="15" customHeight="1" thickBot="1" x14ac:dyDescent="0.3">
      <c r="A141" s="210"/>
      <c r="B141" s="211"/>
      <c r="C141" s="211"/>
      <c r="D141" s="215" t="s">
        <v>69</v>
      </c>
      <c r="E141" s="216"/>
      <c r="F141" s="216"/>
      <c r="G141" s="216"/>
      <c r="H141" s="216"/>
      <c r="I141" s="216"/>
      <c r="J141" s="216"/>
      <c r="K141" s="216"/>
      <c r="L141" s="217"/>
      <c r="M141" s="109"/>
      <c r="N141" s="27">
        <f>N51</f>
        <v>24086688</v>
      </c>
      <c r="O141" s="27">
        <f t="shared" ref="O141:S141" si="9">O51</f>
        <v>18496922.612149809</v>
      </c>
      <c r="P141" s="27">
        <f t="shared" si="9"/>
        <v>0</v>
      </c>
      <c r="Q141" s="27">
        <f t="shared" si="9"/>
        <v>2484287.1020153989</v>
      </c>
      <c r="R141" s="27">
        <f t="shared" si="9"/>
        <v>1941310.5462962727</v>
      </c>
      <c r="S141" s="27">
        <f t="shared" si="9"/>
        <v>16012635.51013441</v>
      </c>
      <c r="T141" s="190"/>
      <c r="U141" s="19"/>
    </row>
    <row r="142" spans="1:21" ht="51" customHeight="1" thickBot="1" x14ac:dyDescent="0.3">
      <c r="A142" s="111">
        <v>90</v>
      </c>
      <c r="B142" s="112" t="s">
        <v>272</v>
      </c>
      <c r="C142" s="117" t="s">
        <v>273</v>
      </c>
      <c r="D142" s="201" t="s">
        <v>122</v>
      </c>
      <c r="E142" s="113"/>
      <c r="F142" s="113"/>
      <c r="G142" s="113"/>
      <c r="H142" s="113"/>
      <c r="I142" s="113"/>
      <c r="J142" s="113"/>
      <c r="K142" s="113" t="s">
        <v>393</v>
      </c>
      <c r="L142" s="113" t="s">
        <v>274</v>
      </c>
      <c r="M142" s="113" t="s">
        <v>3</v>
      </c>
      <c r="N142" s="114">
        <f>834800635300+144000000000</f>
        <v>978800635300</v>
      </c>
      <c r="O142" s="134">
        <f>834798635300+12095027500+14732486250+11774486250+13492000000+25492000000+15482000000+12375860000+12000000000+13000000000+12000000000</f>
        <v>977242495300</v>
      </c>
      <c r="P142" s="115">
        <v>1.0000000000000001E-5</v>
      </c>
      <c r="Q142" s="134"/>
      <c r="R142" s="134"/>
      <c r="S142" s="116">
        <f>O142-Q142</f>
        <v>977242495300</v>
      </c>
      <c r="T142" s="202" t="s">
        <v>84</v>
      </c>
    </row>
    <row r="143" spans="1:21" s="20" customFormat="1" ht="15" customHeight="1" x14ac:dyDescent="0.25">
      <c r="A143" s="118"/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20"/>
      <c r="N143" s="30"/>
      <c r="O143" s="30"/>
      <c r="P143" s="30"/>
      <c r="Q143" s="30"/>
      <c r="R143" s="30"/>
      <c r="S143" s="30"/>
      <c r="T143" s="30"/>
      <c r="U143" s="19"/>
    </row>
    <row r="144" spans="1:21" ht="17.25" x14ac:dyDescent="0.3">
      <c r="B144" s="121"/>
      <c r="C144" s="122"/>
      <c r="M144" s="124"/>
      <c r="N144" s="31"/>
      <c r="O144" s="31"/>
      <c r="S144" s="126"/>
      <c r="T144" s="33"/>
    </row>
    <row r="145" spans="2:21" ht="17.25" x14ac:dyDescent="0.3">
      <c r="B145" s="121"/>
      <c r="C145" s="122"/>
      <c r="N145" s="31"/>
      <c r="O145" s="32"/>
      <c r="P145" s="127"/>
      <c r="R145" s="31"/>
      <c r="S145" s="128"/>
      <c r="T145" s="129"/>
    </row>
    <row r="146" spans="2:21" ht="17.25" x14ac:dyDescent="0.3">
      <c r="B146" s="121"/>
      <c r="C146" s="130"/>
      <c r="O146" s="32"/>
      <c r="R146" s="31"/>
      <c r="S146" s="34"/>
      <c r="T146" s="131"/>
    </row>
    <row r="147" spans="2:21" ht="17.25" x14ac:dyDescent="0.3">
      <c r="B147" s="121"/>
      <c r="C147" s="122"/>
      <c r="O147" s="32"/>
      <c r="R147" s="31"/>
      <c r="S147" s="32"/>
      <c r="T147" s="131"/>
    </row>
    <row r="148" spans="2:21" ht="17.25" x14ac:dyDescent="0.3">
      <c r="B148" s="121"/>
      <c r="C148" s="122"/>
      <c r="R148" s="33"/>
      <c r="S148" s="31"/>
      <c r="T148" s="15"/>
    </row>
    <row r="149" spans="2:21" x14ac:dyDescent="0.25">
      <c r="T149" s="15"/>
    </row>
    <row r="150" spans="2:21" x14ac:dyDescent="0.25">
      <c r="S150" s="132"/>
    </row>
    <row r="151" spans="2:21" x14ac:dyDescent="0.25">
      <c r="O151" s="34"/>
      <c r="S151" s="34"/>
    </row>
    <row r="158" spans="2:21" s="32" customFormat="1" x14ac:dyDescent="0.25">
      <c r="B158" s="35"/>
      <c r="C158" s="16"/>
      <c r="D158" s="16"/>
      <c r="E158" s="16"/>
      <c r="F158" s="16"/>
      <c r="G158" s="16"/>
      <c r="H158" s="16"/>
      <c r="I158" s="16"/>
      <c r="J158" s="16"/>
      <c r="K158" s="123"/>
      <c r="L158" s="16"/>
      <c r="M158" s="16"/>
      <c r="N158" s="16"/>
      <c r="O158" s="16"/>
      <c r="P158" s="125"/>
      <c r="Q158" s="16"/>
      <c r="R158" s="16"/>
      <c r="S158" s="31"/>
      <c r="T158" s="16"/>
      <c r="U158" s="15"/>
    </row>
  </sheetData>
  <protectedRanges>
    <protectedRange algorithmName="SHA-512" hashValue="AB8uP0MwqFLlPyBA8S4mPBkxgL1VdNdmXDRcUKILs+2xccnRCp9fIn40Oy14ySSt+yUwj3gkS0f0+5Krcu1Xgw==" saltValue="H7DCCp8PipSu2jcQ/CnObg==" spinCount="100000" sqref="A65:T68 A74:T77 A80:T83 A85:T91" name="Maria"/>
    <protectedRange algorithmName="SHA-512" hashValue="R0m7mG/o0t2+7dbQTzM5iQkFX2amgAS+iAGJudQnnweh07e6LDAbSuhvcwbzcp7drP+HIG4d/wHfMCXiBXmkow==" saltValue="hXh6Ce3lteSj/cvmR3BSBw==" spinCount="100000" sqref="T112:T132 T142 A142:R142 A112:R132" name="Narine"/>
    <protectedRange algorithmName="SHA-512" hashValue="jZ6QwSTfUi25OdYkjcKnjFttSpWio6DBBDWMdcGeT4kxOcsXO5pNH+sL5wOsMGYPNXMaRe+stMeTQNYOawNgHQ==" saltValue="hvVrhFT8oZXDpBY+HwBScg==" spinCount="100000" sqref="A133:T141 A5:T61 A69:T72 A98:T101 A108:T111 A64:T64 A78:T79" name="Lusine"/>
    <protectedRange algorithmName="SHA-512" hashValue="/qDn2zoAPl6XveVGTDHZcWIjR6P6fmKMYiOIx92BVGuoQ3TYOXlsDsoiDSLs1D9Ugjb3A3EixLJ11cGk8PSHvw==" saltValue="LV/JN9wntl8CkZ3QpoEkqA==" spinCount="100000" sqref="T96:T97 A62:R63 A96:R97 T62:T63" name="Nara"/>
  </protectedRanges>
  <mergeCells count="191">
    <mergeCell ref="A1:T1"/>
    <mergeCell ref="A2:T2"/>
    <mergeCell ref="A5:A6"/>
    <mergeCell ref="B5:B6"/>
    <mergeCell ref="D5:D6"/>
    <mergeCell ref="E5:E6"/>
    <mergeCell ref="K5:K6"/>
    <mergeCell ref="T9:T10"/>
    <mergeCell ref="A11:A12"/>
    <mergeCell ref="B11:B12"/>
    <mergeCell ref="C11:C12"/>
    <mergeCell ref="K11:K12"/>
    <mergeCell ref="L11:L12"/>
    <mergeCell ref="P11:P12"/>
    <mergeCell ref="T11:T12"/>
    <mergeCell ref="A9:A10"/>
    <mergeCell ref="B9:B10"/>
    <mergeCell ref="C9:C10"/>
    <mergeCell ref="K9:K10"/>
    <mergeCell ref="L9:L10"/>
    <mergeCell ref="P9:P10"/>
    <mergeCell ref="J15:J16"/>
    <mergeCell ref="K15:K16"/>
    <mergeCell ref="L15:L16"/>
    <mergeCell ref="P15:P16"/>
    <mergeCell ref="T15:T16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3:A14"/>
    <mergeCell ref="B13:B14"/>
    <mergeCell ref="C13:C14"/>
    <mergeCell ref="K13:K14"/>
    <mergeCell ref="L13:L14"/>
    <mergeCell ref="P13:P14"/>
    <mergeCell ref="T17:T18"/>
    <mergeCell ref="A19:A20"/>
    <mergeCell ref="B19:B20"/>
    <mergeCell ref="C19:C22"/>
    <mergeCell ref="D19:D22"/>
    <mergeCell ref="E19:E21"/>
    <mergeCell ref="F19:F21"/>
    <mergeCell ref="G19:G21"/>
    <mergeCell ref="H19:H21"/>
    <mergeCell ref="A17:A18"/>
    <mergeCell ref="B17:B18"/>
    <mergeCell ref="C17:C18"/>
    <mergeCell ref="D17:D18"/>
    <mergeCell ref="K17:K18"/>
    <mergeCell ref="L17:L18"/>
    <mergeCell ref="A21:A22"/>
    <mergeCell ref="B21:B22"/>
    <mergeCell ref="K21:K22"/>
    <mergeCell ref="L21:L22"/>
    <mergeCell ref="T21:T22"/>
    <mergeCell ref="I19:I21"/>
    <mergeCell ref="J19:J21"/>
    <mergeCell ref="K19:K20"/>
    <mergeCell ref="L19:L20"/>
    <mergeCell ref="P19:P22"/>
    <mergeCell ref="T19:T20"/>
    <mergeCell ref="P23:P24"/>
    <mergeCell ref="T23:T24"/>
    <mergeCell ref="A25:A26"/>
    <mergeCell ref="B25:B26"/>
    <mergeCell ref="K25:K26"/>
    <mergeCell ref="L25:L26"/>
    <mergeCell ref="P25:P26"/>
    <mergeCell ref="T25:T26"/>
    <mergeCell ref="G23:G26"/>
    <mergeCell ref="H23:H26"/>
    <mergeCell ref="I23:I26"/>
    <mergeCell ref="J23:J26"/>
    <mergeCell ref="K23:K24"/>
    <mergeCell ref="L23:L24"/>
    <mergeCell ref="A23:A24"/>
    <mergeCell ref="B23:B24"/>
    <mergeCell ref="C23:C26"/>
    <mergeCell ref="D23:D26"/>
    <mergeCell ref="E23:E26"/>
    <mergeCell ref="F23:F26"/>
    <mergeCell ref="L31:L32"/>
    <mergeCell ref="A31:A32"/>
    <mergeCell ref="B31:B32"/>
    <mergeCell ref="C31:C32"/>
    <mergeCell ref="D31:D32"/>
    <mergeCell ref="E31:E32"/>
    <mergeCell ref="F31:F32"/>
    <mergeCell ref="J27:J28"/>
    <mergeCell ref="C29:C30"/>
    <mergeCell ref="D29:D30"/>
    <mergeCell ref="E29:E30"/>
    <mergeCell ref="F29:F30"/>
    <mergeCell ref="G29:G30"/>
    <mergeCell ref="H29:H30"/>
    <mergeCell ref="I29:I30"/>
    <mergeCell ref="J29:J30"/>
    <mergeCell ref="C27:C28"/>
    <mergeCell ref="D27:D28"/>
    <mergeCell ref="F27:F28"/>
    <mergeCell ref="G27:G28"/>
    <mergeCell ref="H27:H28"/>
    <mergeCell ref="I27:I28"/>
    <mergeCell ref="A34:A36"/>
    <mergeCell ref="B34:B36"/>
    <mergeCell ref="C34:C36"/>
    <mergeCell ref="D34:D36"/>
    <mergeCell ref="E34:E36"/>
    <mergeCell ref="K34:K36"/>
    <mergeCell ref="G31:G32"/>
    <mergeCell ref="H31:H32"/>
    <mergeCell ref="I31:I32"/>
    <mergeCell ref="J31:J32"/>
    <mergeCell ref="K31:K32"/>
    <mergeCell ref="B53:B54"/>
    <mergeCell ref="T53:T54"/>
    <mergeCell ref="A56:A57"/>
    <mergeCell ref="B56:B57"/>
    <mergeCell ref="C56:C57"/>
    <mergeCell ref="T56:T57"/>
    <mergeCell ref="T43:T44"/>
    <mergeCell ref="A47:C51"/>
    <mergeCell ref="D47:L47"/>
    <mergeCell ref="D48:L48"/>
    <mergeCell ref="D51:L51"/>
    <mergeCell ref="A43:A44"/>
    <mergeCell ref="B43:B44"/>
    <mergeCell ref="C43:C44"/>
    <mergeCell ref="K43:K44"/>
    <mergeCell ref="L43:L44"/>
    <mergeCell ref="P43:P44"/>
    <mergeCell ref="D49:L49"/>
    <mergeCell ref="D50:L50"/>
    <mergeCell ref="A58:C61"/>
    <mergeCell ref="D58:L58"/>
    <mergeCell ref="D59:L59"/>
    <mergeCell ref="D60:L60"/>
    <mergeCell ref="D61:L61"/>
    <mergeCell ref="A69:C72"/>
    <mergeCell ref="D69:L69"/>
    <mergeCell ref="D70:L70"/>
    <mergeCell ref="D71:L71"/>
    <mergeCell ref="D72:L72"/>
    <mergeCell ref="T81:T83"/>
    <mergeCell ref="A87:A88"/>
    <mergeCell ref="B87:B88"/>
    <mergeCell ref="C87:C88"/>
    <mergeCell ref="D87:D88"/>
    <mergeCell ref="K87:K88"/>
    <mergeCell ref="T87:T88"/>
    <mergeCell ref="A76:A77"/>
    <mergeCell ref="B76:B77"/>
    <mergeCell ref="C76:C77"/>
    <mergeCell ref="L76:L77"/>
    <mergeCell ref="B105:B107"/>
    <mergeCell ref="C105:C107"/>
    <mergeCell ref="A108:C111"/>
    <mergeCell ref="D108:L108"/>
    <mergeCell ref="D109:L109"/>
    <mergeCell ref="D110:L110"/>
    <mergeCell ref="D111:L111"/>
    <mergeCell ref="T93:T94"/>
    <mergeCell ref="A98:C101"/>
    <mergeCell ref="D98:L98"/>
    <mergeCell ref="D99:L99"/>
    <mergeCell ref="D100:L100"/>
    <mergeCell ref="D101:L101"/>
    <mergeCell ref="A93:A94"/>
    <mergeCell ref="B93:B94"/>
    <mergeCell ref="C93:C94"/>
    <mergeCell ref="D93:D94"/>
    <mergeCell ref="K93:K94"/>
    <mergeCell ref="L93:L94"/>
    <mergeCell ref="A137:C141"/>
    <mergeCell ref="D137:L137"/>
    <mergeCell ref="D138:L138"/>
    <mergeCell ref="D139:L139"/>
    <mergeCell ref="D141:L141"/>
    <mergeCell ref="A133:C136"/>
    <mergeCell ref="D133:L133"/>
    <mergeCell ref="D134:L134"/>
    <mergeCell ref="D135:L135"/>
    <mergeCell ref="D136:L136"/>
    <mergeCell ref="D140:L140"/>
  </mergeCells>
  <conditionalFormatting sqref="O5">
    <cfRule type="cellIs" dxfId="4" priority="5" operator="notEqual">
      <formula>#REF!</formula>
    </cfRule>
  </conditionalFormatting>
  <conditionalFormatting sqref="O95 O6:O33 O35:O41 O43:O45">
    <cfRule type="cellIs" dxfId="3" priority="4" operator="notEqual">
      <formula>#REF!</formula>
    </cfRule>
  </conditionalFormatting>
  <conditionalFormatting sqref="N21">
    <cfRule type="cellIs" dxfId="2" priority="3" operator="notEqual">
      <formula>#REF!</formula>
    </cfRule>
  </conditionalFormatting>
  <conditionalFormatting sqref="O79">
    <cfRule type="cellIs" dxfId="1" priority="2" operator="notEqual">
      <formula>#REF!</formula>
    </cfRule>
  </conditionalFormatting>
  <conditionalFormatting sqref="O46">
    <cfRule type="cellIs" dxfId="0" priority="1" operator="notEqual">
      <formula>#REF!</formula>
    </cfRule>
  </conditionalFormatting>
  <pageMargins left="0.7" right="0.7" top="0.75" bottom="0.75" header="0.3" footer="0.3"/>
  <pageSetup paperSize="9" scale="44" orientation="landscape" verticalDpi="0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E19" sqref="E19"/>
    </sheetView>
  </sheetViews>
  <sheetFormatPr defaultColWidth="25.85546875" defaultRowHeight="15.75" x14ac:dyDescent="0.25"/>
  <cols>
    <col min="1" max="1" width="33.42578125" style="12" customWidth="1"/>
    <col min="2" max="2" width="25.85546875" style="12" customWidth="1"/>
    <col min="3" max="3" width="35.85546875" style="12" customWidth="1"/>
    <col min="4" max="4" width="32.42578125" style="12" customWidth="1"/>
    <col min="5" max="5" width="28.85546875" style="12" customWidth="1"/>
    <col min="6" max="6" width="33.5703125" style="12" customWidth="1"/>
    <col min="7" max="7" width="44.7109375" style="12" customWidth="1"/>
    <col min="8" max="16384" width="25.85546875" style="12"/>
  </cols>
  <sheetData>
    <row r="1" spans="1:5" ht="18.75" x14ac:dyDescent="0.25">
      <c r="A1" s="292" t="s">
        <v>281</v>
      </c>
      <c r="B1" s="292"/>
      <c r="C1" s="292"/>
      <c r="D1" s="292"/>
      <c r="E1" s="292"/>
    </row>
    <row r="2" spans="1:5" ht="61.5" customHeight="1" x14ac:dyDescent="0.25">
      <c r="A2" s="292" t="s">
        <v>415</v>
      </c>
      <c r="B2" s="292"/>
      <c r="C2" s="292"/>
      <c r="D2" s="292"/>
      <c r="E2" s="292"/>
    </row>
    <row r="5" spans="1:5" ht="60.75" x14ac:dyDescent="0.25">
      <c r="A5" s="164" t="s">
        <v>282</v>
      </c>
      <c r="B5" s="164" t="s">
        <v>283</v>
      </c>
      <c r="C5" s="164" t="s">
        <v>284</v>
      </c>
      <c r="D5" s="164" t="s">
        <v>285</v>
      </c>
      <c r="E5" s="164" t="s">
        <v>313</v>
      </c>
    </row>
    <row r="6" spans="1:5" ht="40.5" x14ac:dyDescent="0.25">
      <c r="A6" s="164" t="s">
        <v>286</v>
      </c>
      <c r="B6" s="164" t="s">
        <v>287</v>
      </c>
      <c r="C6" s="164" t="s">
        <v>288</v>
      </c>
      <c r="D6" s="166">
        <v>1150000000</v>
      </c>
      <c r="E6" s="166">
        <v>0</v>
      </c>
    </row>
    <row r="7" spans="1:5" ht="40.5" x14ac:dyDescent="0.25">
      <c r="A7" s="164" t="s">
        <v>289</v>
      </c>
      <c r="B7" s="164" t="s">
        <v>290</v>
      </c>
      <c r="C7" s="164" t="s">
        <v>291</v>
      </c>
      <c r="D7" s="166">
        <v>2000000000</v>
      </c>
      <c r="E7" s="166">
        <f t="shared" ref="E7:E16" si="0">D7</f>
        <v>2000000000</v>
      </c>
    </row>
    <row r="8" spans="1:5" ht="40.5" x14ac:dyDescent="0.25">
      <c r="A8" s="164" t="s">
        <v>292</v>
      </c>
      <c r="B8" s="164" t="s">
        <v>287</v>
      </c>
      <c r="C8" s="164" t="s">
        <v>293</v>
      </c>
      <c r="D8" s="166">
        <v>100000000</v>
      </c>
      <c r="E8" s="166">
        <f>19859607.6-16585758</f>
        <v>3273849.6000000015</v>
      </c>
    </row>
    <row r="9" spans="1:5" ht="40.5" x14ac:dyDescent="0.25">
      <c r="A9" s="164" t="s">
        <v>294</v>
      </c>
      <c r="B9" s="164" t="s">
        <v>287</v>
      </c>
      <c r="C9" s="164" t="s">
        <v>296</v>
      </c>
      <c r="D9" s="166">
        <v>825000000</v>
      </c>
      <c r="E9" s="166">
        <f t="shared" si="0"/>
        <v>825000000</v>
      </c>
    </row>
    <row r="10" spans="1:5" ht="40.5" x14ac:dyDescent="0.25">
      <c r="A10" s="164" t="s">
        <v>297</v>
      </c>
      <c r="B10" s="164" t="s">
        <v>287</v>
      </c>
      <c r="C10" s="164" t="s">
        <v>298</v>
      </c>
      <c r="D10" s="166">
        <v>265000000</v>
      </c>
      <c r="E10" s="166">
        <f t="shared" si="0"/>
        <v>265000000</v>
      </c>
    </row>
    <row r="11" spans="1:5" ht="101.25" x14ac:dyDescent="0.25">
      <c r="A11" s="164" t="s">
        <v>304</v>
      </c>
      <c r="B11" s="164" t="s">
        <v>308</v>
      </c>
      <c r="C11" s="164" t="s">
        <v>309</v>
      </c>
      <c r="D11" s="165">
        <v>103500000</v>
      </c>
      <c r="E11" s="166">
        <f t="shared" si="0"/>
        <v>103500000</v>
      </c>
    </row>
    <row r="12" spans="1:5" ht="101.25" x14ac:dyDescent="0.25">
      <c r="A12" s="164" t="s">
        <v>305</v>
      </c>
      <c r="B12" s="164" t="s">
        <v>308</v>
      </c>
      <c r="C12" s="164" t="s">
        <v>310</v>
      </c>
      <c r="D12" s="165">
        <v>100000000</v>
      </c>
      <c r="E12" s="166">
        <f t="shared" si="0"/>
        <v>100000000</v>
      </c>
    </row>
    <row r="13" spans="1:5" ht="101.25" x14ac:dyDescent="0.25">
      <c r="A13" s="290" t="s">
        <v>306</v>
      </c>
      <c r="B13" s="164" t="s">
        <v>308</v>
      </c>
      <c r="C13" s="164" t="s">
        <v>311</v>
      </c>
      <c r="D13" s="165">
        <v>253500000</v>
      </c>
      <c r="E13" s="166">
        <f t="shared" si="0"/>
        <v>253500000</v>
      </c>
    </row>
    <row r="14" spans="1:5" ht="40.5" x14ac:dyDescent="0.25">
      <c r="A14" s="291"/>
      <c r="B14" s="164" t="s">
        <v>287</v>
      </c>
      <c r="C14" s="164" t="s">
        <v>311</v>
      </c>
      <c r="D14" s="165">
        <v>430182000</v>
      </c>
      <c r="E14" s="166">
        <f t="shared" si="0"/>
        <v>430182000</v>
      </c>
    </row>
    <row r="15" spans="1:5" ht="60.75" x14ac:dyDescent="0.25">
      <c r="A15" s="164" t="s">
        <v>307</v>
      </c>
      <c r="B15" s="164" t="s">
        <v>287</v>
      </c>
      <c r="C15" s="164" t="s">
        <v>312</v>
      </c>
      <c r="D15" s="165">
        <v>127200000</v>
      </c>
      <c r="E15" s="166">
        <f t="shared" si="0"/>
        <v>127200000</v>
      </c>
    </row>
    <row r="16" spans="1:5" ht="60.75" x14ac:dyDescent="0.25">
      <c r="A16" s="167" t="s">
        <v>395</v>
      </c>
      <c r="B16" s="164" t="s">
        <v>394</v>
      </c>
      <c r="C16" s="164" t="s">
        <v>396</v>
      </c>
      <c r="D16" s="165">
        <v>500000000</v>
      </c>
      <c r="E16" s="166">
        <f t="shared" si="0"/>
        <v>500000000</v>
      </c>
    </row>
    <row r="17" spans="1:9" ht="60.75" x14ac:dyDescent="0.25">
      <c r="A17" s="167" t="s">
        <v>411</v>
      </c>
      <c r="B17" s="164" t="s">
        <v>287</v>
      </c>
      <c r="C17" s="164" t="s">
        <v>413</v>
      </c>
      <c r="D17" s="165">
        <v>234990000</v>
      </c>
      <c r="E17" s="165">
        <v>234990000</v>
      </c>
    </row>
    <row r="18" spans="1:9" ht="40.5" x14ac:dyDescent="0.25">
      <c r="A18" s="168" t="s">
        <v>410</v>
      </c>
      <c r="B18" s="169" t="s">
        <v>412</v>
      </c>
      <c r="C18" s="164" t="s">
        <v>414</v>
      </c>
      <c r="D18" s="165">
        <v>450000000</v>
      </c>
      <c r="E18" s="165">
        <v>450000000</v>
      </c>
    </row>
    <row r="19" spans="1:9" ht="20.25" x14ac:dyDescent="0.25">
      <c r="A19" s="170" t="s">
        <v>295</v>
      </c>
      <c r="B19" s="170"/>
      <c r="C19" s="170"/>
      <c r="D19" s="171">
        <f>SUM(D6:D18)</f>
        <v>6539372000</v>
      </c>
      <c r="E19" s="171">
        <f>SUM(E6:E18)</f>
        <v>5292645849.6000004</v>
      </c>
    </row>
    <row r="22" spans="1:9" x14ac:dyDescent="0.25">
      <c r="A22" s="13"/>
      <c r="B22" s="13"/>
      <c r="C22" s="13"/>
      <c r="D22" s="13"/>
      <c r="E22" s="13"/>
      <c r="F22" s="13"/>
      <c r="G22" s="13"/>
      <c r="H22" s="14"/>
      <c r="I22" s="14"/>
    </row>
    <row r="23" spans="1:9" x14ac:dyDescent="0.25">
      <c r="A23" s="13"/>
      <c r="B23" s="13"/>
      <c r="C23" s="13"/>
      <c r="D23" s="13"/>
      <c r="E23" s="13"/>
      <c r="F23" s="13"/>
      <c r="G23" s="13"/>
      <c r="H23" s="14"/>
      <c r="I23" s="14"/>
    </row>
    <row r="24" spans="1:9" x14ac:dyDescent="0.25">
      <c r="A24" s="13"/>
      <c r="B24" s="13"/>
      <c r="C24" s="13"/>
      <c r="D24" s="13"/>
      <c r="E24" s="13"/>
      <c r="F24" s="13"/>
      <c r="G24" s="13"/>
      <c r="H24" s="14"/>
      <c r="I24" s="14"/>
    </row>
    <row r="25" spans="1:9" x14ac:dyDescent="0.25">
      <c r="A25" s="13"/>
      <c r="B25" s="13"/>
      <c r="C25" s="13"/>
      <c r="D25" s="13"/>
      <c r="E25" s="13"/>
      <c r="F25" s="13"/>
      <c r="G25" s="13"/>
      <c r="H25" s="14"/>
      <c r="I25" s="14"/>
    </row>
    <row r="26" spans="1:9" x14ac:dyDescent="0.25">
      <c r="A26" s="13"/>
      <c r="B26" s="13"/>
      <c r="C26" s="13"/>
      <c r="D26" s="13"/>
      <c r="E26" s="13"/>
      <c r="F26" s="13"/>
      <c r="G26" s="13"/>
      <c r="H26" s="14"/>
      <c r="I26" s="14"/>
    </row>
    <row r="27" spans="1:9" x14ac:dyDescent="0.25">
      <c r="A27" s="13"/>
      <c r="B27" s="13"/>
      <c r="C27" s="13"/>
      <c r="D27" s="13"/>
      <c r="E27" s="13"/>
      <c r="F27" s="13"/>
      <c r="G27" s="13"/>
      <c r="H27" s="14"/>
      <c r="I27" s="14"/>
    </row>
    <row r="28" spans="1:9" x14ac:dyDescent="0.25">
      <c r="A28" s="13"/>
      <c r="B28" s="13"/>
      <c r="C28" s="13"/>
      <c r="D28" s="13"/>
      <c r="E28" s="13"/>
      <c r="F28" s="13"/>
      <c r="G28" s="13"/>
      <c r="H28" s="14"/>
      <c r="I28" s="14"/>
    </row>
  </sheetData>
  <mergeCells count="3">
    <mergeCell ref="A13:A14"/>
    <mergeCell ref="A2:E2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Պարտավորություններ</vt:lpstr>
      <vt:lpstr>բյուջետային երաշխիք</vt:lpstr>
      <vt:lpstr>Պարտավորություններ!Print_Area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Lusine Grigoryan</cp:lastModifiedBy>
  <cp:lastPrinted>2022-11-07T07:50:52Z</cp:lastPrinted>
  <dcterms:created xsi:type="dcterms:W3CDTF">2021-02-19T11:33:22Z</dcterms:created>
  <dcterms:modified xsi:type="dcterms:W3CDTF">2022-11-07T12:24:49Z</dcterms:modified>
  <cp:keywords>https://mul2-minfin.gov.am/tasks/547623/oneclick/Hraparakman-Partav. 10.22.xlsx?token=a29b21655435de7dffdb3e3421b182b7</cp:keywords>
</cp:coreProperties>
</file>